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DieseArbeitsmappe" defaultThemeVersion="124226"/>
  <workbookProtection workbookPassword="F79B" lockStructure="1"/>
  <bookViews>
    <workbookView xWindow="0" yWindow="0" windowWidth="28800" windowHeight="14235" tabRatio="652"/>
  </bookViews>
  <sheets>
    <sheet name="Eingaben" sheetId="2" r:id="rId1"/>
    <sheet name="NormVorgaben" sheetId="9" state="hidden" r:id="rId2"/>
    <sheet name="Gewichtung" sheetId="6" state="hidden" r:id="rId3"/>
    <sheet name="Diagramm" sheetId="15" r:id="rId4"/>
    <sheet name="HilfsblattDiagramm" sheetId="14" state="hidden" r:id="rId5"/>
  </sheets>
  <definedNames>
    <definedName name="AnzahlInternetanschlüsseFürPersonal">Gewichtung!$351:$400</definedName>
    <definedName name="AnzahlInternetanschlüsseFürPublikum">Gewichtung!$401:$450</definedName>
    <definedName name="AnzahlPublikumsarbeitsplätze">Gewichtung!$201:$250</definedName>
    <definedName name="AnzahlVeranstaltungenFührungen">Gewichtung!$251:$300</definedName>
    <definedName name="BasisinformationImInternet">Gewichtung!$601:$650</definedName>
    <definedName name="Bestand">Gewichtung!$51:$100</definedName>
    <definedName name="Bestandeserneuerung">Gewichtung!$101:$150</definedName>
    <definedName name="_xlnm.Print_Area" localSheetId="0">Eingaben!$A$1:$E$147</definedName>
    <definedName name="ErschliessungGemässAT7gleich100">Gewichtung!$551:$600</definedName>
    <definedName name="Fläche">Gewichtung!$2:$50</definedName>
    <definedName name="KatalogImInternetBezogenAufAnzahlMedien">Gewichtung!$651:$700</definedName>
    <definedName name="ÖffnungszeitenJahresdurchschnittProWoche">Gewichtung!$301:$350</definedName>
    <definedName name="Personal">Gewichtung!$501:$550</definedName>
    <definedName name="QualifizierteAusbildungBibliotheksleiterin">Gewichtung!$451:$500</definedName>
    <definedName name="UmgesetzerBestand">Gewichtung!$151:$200</definedName>
  </definedNames>
  <calcPr calcId="145621"/>
</workbook>
</file>

<file path=xl/calcChain.xml><?xml version="1.0" encoding="utf-8"?>
<calcChain xmlns="http://schemas.openxmlformats.org/spreadsheetml/2006/main">
  <c r="C40" i="2" l="1"/>
  <c r="C43" i="2" s="1"/>
  <c r="C59" i="2"/>
  <c r="B16" i="2"/>
  <c r="A1" i="14"/>
  <c r="C17" i="2"/>
  <c r="C19" i="2" s="1"/>
  <c r="E551" i="6"/>
  <c r="E750" i="6"/>
  <c r="F501" i="6" s="1"/>
  <c r="F2" i="6"/>
  <c r="D16" i="2" s="1"/>
  <c r="A2" i="14"/>
  <c r="E21" i="2"/>
  <c r="B2" i="14"/>
  <c r="A3" i="14"/>
  <c r="E28" i="2"/>
  <c r="B3" i="14" s="1"/>
  <c r="F451" i="6"/>
  <c r="D28" i="2" s="1"/>
  <c r="F28" i="2" s="1"/>
  <c r="C3" i="14" s="1"/>
  <c r="C69" i="2"/>
  <c r="C72" i="2" s="1"/>
  <c r="E68" i="2" s="1"/>
  <c r="B9" i="14" s="1"/>
  <c r="B33" i="2"/>
  <c r="A4" i="14" s="1"/>
  <c r="B35" i="2"/>
  <c r="C35" i="2"/>
  <c r="C37" i="2" s="1"/>
  <c r="F51" i="6"/>
  <c r="D33" i="2" s="1"/>
  <c r="A5" i="14"/>
  <c r="F201" i="6"/>
  <c r="D39" i="2" s="1"/>
  <c r="A6" i="14"/>
  <c r="C46" i="2"/>
  <c r="C48" i="2" s="1"/>
  <c r="A7" i="14"/>
  <c r="F351" i="6"/>
  <c r="D50" i="2" s="1"/>
  <c r="A8" i="14"/>
  <c r="F301" i="6"/>
  <c r="D55" i="2" s="1"/>
  <c r="C56" i="2"/>
  <c r="C58" i="2" s="1"/>
  <c r="C61" i="2"/>
  <c r="C63" i="2" s="1"/>
  <c r="C66" i="2"/>
  <c r="E55" i="2"/>
  <c r="B8" i="14"/>
  <c r="B68" i="2"/>
  <c r="A9" i="14" s="1"/>
  <c r="F25" i="6"/>
  <c r="D68" i="2" s="1"/>
  <c r="A10" i="14"/>
  <c r="C75" i="2"/>
  <c r="C77" i="2" s="1"/>
  <c r="D77" i="2" s="1"/>
  <c r="E74" i="2" s="1"/>
  <c r="B10" i="14" s="1"/>
  <c r="C78" i="2"/>
  <c r="C80" i="2" s="1"/>
  <c r="D80" i="2" s="1"/>
  <c r="F101" i="6"/>
  <c r="D74" i="2"/>
  <c r="A11" i="14"/>
  <c r="C83" i="2"/>
  <c r="C85" i="2" s="1"/>
  <c r="D85" i="2" s="1"/>
  <c r="C86" i="2"/>
  <c r="C88" i="2"/>
  <c r="D88" i="2" s="1"/>
  <c r="F151" i="6"/>
  <c r="D82" i="2" s="1"/>
  <c r="A12" i="14"/>
  <c r="C91" i="2"/>
  <c r="C93" i="2"/>
  <c r="E90" i="2" s="1"/>
  <c r="B12" i="14" s="1"/>
  <c r="F251" i="6"/>
  <c r="D90" i="2"/>
  <c r="B95" i="2"/>
  <c r="A13" i="14"/>
  <c r="F551" i="6"/>
  <c r="D95" i="2"/>
  <c r="C96" i="2"/>
  <c r="C98" i="2"/>
  <c r="E95" i="2" s="1"/>
  <c r="B13" i="14" s="1"/>
  <c r="A14" i="14"/>
  <c r="E105" i="2"/>
  <c r="B14" i="14" s="1"/>
  <c r="F601" i="6"/>
  <c r="D105" i="2" s="1"/>
  <c r="F105" i="2" s="1"/>
  <c r="C14" i="14" s="1"/>
  <c r="A15" i="14"/>
  <c r="E107" i="2"/>
  <c r="B15" i="14" s="1"/>
  <c r="F651" i="6"/>
  <c r="D107" i="2"/>
  <c r="F107" i="2" s="1"/>
  <c r="C15" i="14" s="1"/>
  <c r="A16" i="14"/>
  <c r="E111" i="2"/>
  <c r="B16" i="14" s="1"/>
  <c r="F701" i="6"/>
  <c r="D111" i="2" s="1"/>
  <c r="F111" i="2" s="1"/>
  <c r="C16" i="14" s="1"/>
  <c r="A2" i="6"/>
  <c r="A3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A25" i="6"/>
  <c r="B72" i="2"/>
  <c r="A26" i="6" s="1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A51" i="6"/>
  <c r="A52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A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A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A201" i="6"/>
  <c r="A202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A251" i="6"/>
  <c r="A252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A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8" i="6"/>
  <c r="F329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A351" i="6"/>
  <c r="A352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A401" i="6"/>
  <c r="A402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A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A501" i="6"/>
  <c r="A502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B25" i="2"/>
  <c r="A517" i="6" s="1"/>
  <c r="F517" i="6"/>
  <c r="F518" i="6"/>
  <c r="F519" i="6"/>
  <c r="F520" i="6"/>
  <c r="F521" i="6"/>
  <c r="F522" i="6"/>
  <c r="F523" i="6"/>
  <c r="F524" i="6"/>
  <c r="F525" i="6"/>
  <c r="F526" i="6"/>
  <c r="A527" i="6"/>
  <c r="B527" i="6" s="1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A551" i="6"/>
  <c r="F552" i="6"/>
  <c r="F553" i="6"/>
  <c r="B96" i="2"/>
  <c r="A554" i="6" s="1"/>
  <c r="F554" i="6"/>
  <c r="A555" i="6"/>
  <c r="F555" i="6"/>
  <c r="A556" i="6"/>
  <c r="F556" i="6"/>
  <c r="B101" i="2"/>
  <c r="A557" i="6" s="1"/>
  <c r="F557" i="6"/>
  <c r="A558" i="6"/>
  <c r="F558" i="6"/>
  <c r="A559" i="6"/>
  <c r="F559" i="6"/>
  <c r="B560" i="6"/>
  <c r="C560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A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A651" i="6"/>
  <c r="F652" i="6"/>
  <c r="F653" i="6"/>
  <c r="A654" i="6"/>
  <c r="F654" i="6"/>
  <c r="A655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A701" i="6"/>
  <c r="B113" i="2"/>
  <c r="A711" i="6" s="1"/>
  <c r="B115" i="2"/>
  <c r="A712" i="6"/>
  <c r="B117" i="2"/>
  <c r="A713" i="6" s="1"/>
  <c r="B121" i="2"/>
  <c r="A714" i="6" s="1"/>
  <c r="B125" i="2"/>
  <c r="A715" i="6" s="1"/>
  <c r="B716" i="6"/>
  <c r="A1" i="9"/>
  <c r="A5" i="9"/>
  <c r="A13" i="9"/>
  <c r="A17" i="9"/>
  <c r="A22" i="9"/>
  <c r="A27" i="9"/>
  <c r="A33" i="9"/>
  <c r="A44" i="9"/>
  <c r="A75" i="9"/>
  <c r="A85" i="9"/>
  <c r="A91" i="9"/>
  <c r="A99" i="9"/>
  <c r="A109" i="9"/>
  <c r="A14" i="2"/>
  <c r="B14" i="2"/>
  <c r="B22" i="2"/>
  <c r="C22" i="2"/>
  <c r="C24" i="2" s="1"/>
  <c r="B26" i="2"/>
  <c r="C31" i="2"/>
  <c r="B34" i="2"/>
  <c r="C34" i="2" s="1"/>
  <c r="B40" i="2"/>
  <c r="B46" i="2"/>
  <c r="C53" i="2"/>
  <c r="E50" i="2" s="1"/>
  <c r="B7" i="14" s="1"/>
  <c r="A64" i="2"/>
  <c r="B64" i="2"/>
  <c r="C64" i="2"/>
  <c r="A65" i="2"/>
  <c r="B65" i="2"/>
  <c r="A66" i="2"/>
  <c r="B66" i="2"/>
  <c r="B69" i="2"/>
  <c r="B75" i="2"/>
  <c r="B78" i="2"/>
  <c r="B83" i="2"/>
  <c r="B84" i="2"/>
  <c r="B86" i="2"/>
  <c r="B87" i="2"/>
  <c r="B91" i="2"/>
  <c r="A101" i="2"/>
  <c r="A102" i="2"/>
  <c r="A103" i="2"/>
  <c r="C113" i="2"/>
  <c r="D113" i="2" s="1"/>
  <c r="C115" i="2"/>
  <c r="D115" i="2" s="1"/>
  <c r="C117" i="2"/>
  <c r="D117" i="2" s="1"/>
  <c r="B119" i="2"/>
  <c r="C119" i="2"/>
  <c r="D119" i="2" s="1"/>
  <c r="C121" i="2"/>
  <c r="D121" i="2" s="1"/>
  <c r="C122" i="2"/>
  <c r="C125" i="2" s="1"/>
  <c r="A123" i="2"/>
  <c r="B123" i="2"/>
  <c r="C123" i="2"/>
  <c r="A124" i="2"/>
  <c r="C124" i="2"/>
  <c r="A125" i="2"/>
  <c r="A126" i="2"/>
  <c r="C126" i="2" l="1"/>
  <c r="D125" i="2" s="1"/>
  <c r="F55" i="2"/>
  <c r="C8" i="14" s="1"/>
  <c r="E33" i="2"/>
  <c r="B4" i="14" s="1"/>
  <c r="F401" i="6"/>
  <c r="D45" i="2" s="1"/>
  <c r="E45" i="2"/>
  <c r="B6" i="14" s="1"/>
  <c r="F95" i="2"/>
  <c r="C13" i="14" s="1"/>
  <c r="F90" i="2"/>
  <c r="C12" i="14" s="1"/>
  <c r="E82" i="2"/>
  <c r="B11" i="14" s="1"/>
  <c r="F68" i="2"/>
  <c r="C9" i="14" s="1"/>
  <c r="F45" i="2"/>
  <c r="C6" i="14" s="1"/>
  <c r="F750" i="6"/>
  <c r="D21" i="2"/>
  <c r="F21" i="2" s="1"/>
  <c r="C2" i="14" s="1"/>
  <c r="F82" i="2"/>
  <c r="C11" i="14" s="1"/>
  <c r="F74" i="2"/>
  <c r="C10" i="14" s="1"/>
  <c r="F50" i="2"/>
  <c r="C7" i="14" s="1"/>
  <c r="E16" i="2"/>
  <c r="E39" i="2"/>
  <c r="B5" i="14" s="1"/>
  <c r="F16" i="2"/>
  <c r="C1" i="14" s="1"/>
  <c r="D129" i="2"/>
  <c r="F33" i="2" l="1"/>
  <c r="C4" i="14" s="1"/>
  <c r="F39" i="2"/>
  <c r="C5" i="14" s="1"/>
  <c r="B1" i="14"/>
  <c r="E129" i="2"/>
</calcChain>
</file>

<file path=xl/comments1.xml><?xml version="1.0" encoding="utf-8"?>
<comments xmlns="http://schemas.openxmlformats.org/spreadsheetml/2006/main">
  <authors>
    <author>Zentrum für Bibliothekentwicklung</author>
    <author>*</author>
  </authors>
  <commentList>
    <comment ref="C13" authorId="0">
      <text>
        <r>
          <rPr>
            <b/>
            <sz val="8"/>
            <color indexed="81"/>
            <rFont val="Tahoma"/>
            <family val="2"/>
          </rPr>
          <t>Allenfalls inkl. Kindergarten</t>
        </r>
      </text>
    </comment>
    <comment ref="C14" authorId="0">
      <text>
        <r>
          <rPr>
            <b/>
            <sz val="8"/>
            <color indexed="81"/>
            <rFont val="Tahoma"/>
            <family val="2"/>
          </rPr>
          <t>Allenfalls inkl. Kindergarten</t>
        </r>
      </text>
    </comment>
    <comment ref="C18" authorId="0">
      <text>
        <r>
          <rPr>
            <b/>
            <sz val="8"/>
            <color indexed="81"/>
            <rFont val="Tahoma"/>
            <family val="2"/>
          </rPr>
          <t>Anzahl Personen, welche innerhalb eines Jahres mindestens eine Ausleihe getätigt haben oder andere Dienstleistungen bezogen haben (z.B. Internet-Nutzung).</t>
        </r>
      </text>
    </comment>
    <comment ref="C23" authorId="0">
      <text>
        <r>
          <rPr>
            <b/>
            <sz val="8"/>
            <color indexed="81"/>
            <rFont val="Tahoma"/>
            <family val="2"/>
          </rPr>
          <t>Berechnung bei Anstellung auf Stundenbasis: Sollstundenanzahl für 12 Monate, z.B. eine Person mit 504 Std. geteilt durch 2066 Jahressoll-Stunden ergibt 0.24 VZÄ, d.h. (504/2066)</t>
        </r>
      </text>
    </comment>
    <comment ref="C29" authorId="0">
      <text>
        <r>
          <rPr>
            <b/>
            <sz val="8"/>
            <color indexed="81"/>
            <rFont val="Tahoma"/>
            <family val="2"/>
          </rPr>
          <t>Klicken Sie hier die höchste bibliothekarische Ausbildungsstufe an, welche die Leiterin / der Leiter absolviert hat.</t>
        </r>
      </text>
    </comment>
    <comment ref="C30" authorId="1">
      <text>
        <r>
          <rPr>
            <b/>
            <sz val="8"/>
            <color indexed="81"/>
            <rFont val="Tahoma"/>
            <family val="2"/>
          </rPr>
          <t>Anzahl Mitarbeiter/innen, welche die SAB-Grundausbildung (ZB-Aufbaukurs) absolviert haben</t>
        </r>
      </text>
    </comment>
    <comment ref="C36" authorId="0">
      <text>
        <r>
          <rPr>
            <b/>
            <sz val="8"/>
            <color indexed="81"/>
            <rFont val="Tahoma"/>
            <family val="2"/>
          </rPr>
          <t>Summe der Quadratmeter der dem Publikum zur Verfügung stehenden Flächen (ohne Magazin- und Büroflächen)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1" authorId="0">
      <text>
        <r>
          <rPr>
            <b/>
            <sz val="8"/>
            <color indexed="81"/>
            <rFont val="Tahoma"/>
            <family val="2"/>
          </rPr>
          <t>Summe der  Arbeitsplätze mit Tischflächen, die dem Publikum zur Verfügung steht (inkl. elektronische Arbeitsplätze)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2" authorId="1">
      <text>
        <r>
          <rPr>
            <b/>
            <sz val="8"/>
            <color indexed="81"/>
            <rFont val="Tahoma"/>
            <family val="2"/>
          </rPr>
          <t>Summe der  Sitzplätze (Sessel, Sofas, Sitzstufen),  die dem Publikum zur Verfügung steht. Diese werden bei Gemeinde-Schulbibliotheken schwächer gewertet als Arbeitsplätze mit Tischflächen.</t>
        </r>
      </text>
    </comment>
    <comment ref="C70" authorId="0">
      <text>
        <r>
          <rPr>
            <b/>
            <sz val="8"/>
            <color indexed="81"/>
            <rFont val="Tahoma"/>
            <family val="2"/>
          </rPr>
          <t>1 Zeitschriften-
abonnement gilt als eine Einheit.</t>
        </r>
      </text>
    </comment>
    <comment ref="C76" authorId="0">
      <text>
        <r>
          <rPr>
            <b/>
            <sz val="8"/>
            <color indexed="81"/>
            <rFont val="Tahoma"/>
            <family val="2"/>
          </rPr>
          <t>Zeitschriften-abonnnemente werden jedes Jahr als Neuerwerbung gezählt.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9" authorId="1">
      <text>
        <r>
          <rPr>
            <b/>
            <sz val="8"/>
            <color indexed="81"/>
            <rFont val="Tahoma"/>
          </rPr>
          <t>Erklärung zur Punktvergabe:
Bestandes-erneuerungen, die über der Norm liegen, können die Finanzen (Punkt 16.4) aus dem Lot werfen. Deshalb Abzug möglich.</t>
        </r>
      </text>
    </comment>
    <comment ref="C97" authorId="1">
      <text>
        <r>
          <rPr>
            <b/>
            <sz val="8"/>
            <color indexed="81"/>
            <rFont val="Tahoma"/>
          </rPr>
          <t>Anzahl Schulklassen unter Punkt 0.3 eingegeben?</t>
        </r>
      </text>
    </comment>
    <comment ref="C105" authorId="1">
      <text>
        <r>
          <rPr>
            <b/>
            <sz val="8"/>
            <color indexed="81"/>
            <rFont val="Tahoma"/>
            <family val="2"/>
          </rPr>
          <t>-auf der Gemeindewebsite Informationen ÜBER die Bibliothek (Öffnungszeiten etc.) vorhanden?
O D E R:
-von der Gemeindewebsite direkte Verbindung AUF die Bibliothekwebsite möglich?</t>
        </r>
      </text>
    </comment>
    <comment ref="C112" authorId="1">
      <text>
        <r>
          <rPr>
            <b/>
            <sz val="8"/>
            <color indexed="81"/>
            <rFont val="Tahoma"/>
            <family val="2"/>
          </rPr>
          <t>eingeschlossen Lohnkosten, Sozialausgaben, Kosten für Weiterbildung, Spesen, Sitzungsgelder u.ä.</t>
        </r>
      </text>
    </comment>
    <comment ref="C114" authorId="1">
      <text>
        <r>
          <rPr>
            <b/>
            <sz val="8"/>
            <color indexed="81"/>
            <rFont val="Tahoma"/>
            <family val="2"/>
          </rPr>
          <t xml:space="preserve"> inkl. Kosten für die Ausrüstung</t>
        </r>
      </text>
    </comment>
    <comment ref="C116" authorId="1">
      <text>
        <r>
          <rPr>
            <b/>
            <sz val="8"/>
            <color indexed="81"/>
            <rFont val="Tahoma"/>
            <family val="2"/>
          </rPr>
          <t>Miete und Unterhalt inkl. Bewirtschaftungs-kosten wie Energie-, Heiz- und Reinigungskosten, ausgeschlossen sind ausserordentliche Investitionskosten. Falls keine Mietkosten in der Betriebsrechnung vorkommen, sollten diese mit  Fr. 75.00 pro Quadratmeter und Jahr berechnet werden.</t>
        </r>
      </text>
    </comment>
    <comment ref="C118" authorId="1">
      <text>
        <r>
          <rPr>
            <b/>
            <sz val="8"/>
            <color indexed="81"/>
            <rFont val="Tahoma"/>
            <family val="2"/>
          </rPr>
          <t>Hard- und Software, Internet, eventl. Webhosting, Abos für Online-Dienste</t>
        </r>
      </text>
    </comment>
    <comment ref="C120" authorId="1">
      <text>
        <r>
          <rPr>
            <b/>
            <sz val="8"/>
            <color indexed="81"/>
            <rFont val="Tahoma"/>
            <family val="2"/>
          </rPr>
          <t>z.B. Büromaterial, Mobiliar-ergänzungen, Öffentlichkeits-arbeit, Geräte, inkl. IT-Kosten (Hard- und Software, Netzwerkkosten)</t>
        </r>
      </text>
    </comment>
    <comment ref="B132" authorId="0">
      <text>
        <r>
          <rPr>
            <b/>
            <sz val="8"/>
            <color indexed="81"/>
            <rFont val="Arial"/>
            <family val="2"/>
          </rPr>
          <t>z.B. 
- Die Bibliothek ist ein sozialer Treffpunkt für Familien mit Kleinkindern, Jugendliche, Fremdsprachige und Vereine. Angebot und Öffnungszeiten sind speziell auf diese Zielgruppe ausgerichtet. 
- Die Bibliothek arbeitet mit Pro Senectute zusammen. Für ältere Einwohner werden spezielle Veranstaltungen angeboten und es besteht ein Hauslieferdienst.
- Es finden Buchstart-Veranstaltungen statt. 
usw.</t>
        </r>
        <r>
          <rPr>
            <b/>
            <sz val="10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<sst xmlns="http://schemas.openxmlformats.org/spreadsheetml/2006/main" count="195" uniqueCount="168">
  <si>
    <t>Personal (pro 1000 Medien, Anzahl Vollzeitäquivalente)</t>
  </si>
  <si>
    <t>Bewertung der Bibliothek</t>
  </si>
  <si>
    <t>Fläche in Prozent der Soll-Raumgrösse für tatsächlichen Bestand</t>
  </si>
  <si>
    <t>Sollwert aktive Kundinnen und Kunden</t>
  </si>
  <si>
    <t>Tatsächlicher Bestand Printmedien und Zeitschriftenabonnemente</t>
  </si>
  <si>
    <t>Lokale  Referenzdaten</t>
  </si>
  <si>
    <t>Gewichtung
in Pkt.</t>
  </si>
  <si>
    <t>erreichte %</t>
  </si>
  <si>
    <t>Gemeindebibliothek oder Gemeinde-Schulbibliothek?</t>
  </si>
  <si>
    <t>Sollwert der wöchentlichen Öffnungszeiten (Anzahl Stunden)</t>
  </si>
  <si>
    <t>Samstag geöffnet?</t>
  </si>
  <si>
    <t>Einwohnerzahl</t>
  </si>
  <si>
    <t>Öffnungsstd.</t>
  </si>
  <si>
    <t>Anzahl Tage</t>
  </si>
  <si>
    <t>Sollwert der Öffnungstage</t>
  </si>
  <si>
    <t>Tatsächliche Öffnungstage</t>
  </si>
  <si>
    <t>Tatsächliche Anzahl Veranstaltungen pro Jahr</t>
  </si>
  <si>
    <t>Anzahl Publikumsarbeitsplätze in Prozent des Sollwertes</t>
  </si>
  <si>
    <t>Veranstaltungen in Prozenten der Soll-Veranstaltungen</t>
  </si>
  <si>
    <t>Stunden-Öffnungszeiten in Prozent des Sollwertes</t>
  </si>
  <si>
    <t>Öffnungstage in Prozent des Sollwertes</t>
  </si>
  <si>
    <t>Einwohnerzahl der Gemeinde</t>
  </si>
  <si>
    <t>des Sollwertbestandes</t>
  </si>
  <si>
    <t>Samstagfaktor</t>
  </si>
  <si>
    <t>an &gt;=4 Tagen inkl Sa geöffnet</t>
  </si>
  <si>
    <t>an &gt;=4 Tagen ohne Sa geöffnet</t>
  </si>
  <si>
    <t>Katalog im Internet</t>
  </si>
  <si>
    <t>Anzahl Computer-Arbeitsplätze mit Internetanschluss in Prozent des Sollwertes</t>
  </si>
  <si>
    <t>Medienbestand (Medien pro Einwohner)</t>
  </si>
  <si>
    <t>Medienbestand (Medien pro Einwohner / Medien pro Schüler)</t>
  </si>
  <si>
    <t>Anzahl Publikumsarbeitsplätze in Gemeindebibliothek</t>
  </si>
  <si>
    <t>Anzahl Publikumsarbeitsplätze in Gemeinde-Schulbibliothek</t>
  </si>
  <si>
    <t>Sollwert Anzahl Führungen für Schulen (pro Klasse pro Jahr)</t>
  </si>
  <si>
    <t xml:space="preserve">Sollwert Internetanschlüsse fürs Publikum (1 pro </t>
  </si>
  <si>
    <t xml:space="preserve"> Einwohner; mindestens 1 Anschluss pro Bibliothek)</t>
  </si>
  <si>
    <t>Tatsächliche Anzahl Neuerwerbungen Printmedien und Zeitschriftenabonnemente</t>
  </si>
  <si>
    <t>Tatsächliche Vollzeitäquivalente</t>
  </si>
  <si>
    <t>davon 
erreicht</t>
  </si>
  <si>
    <t>Gewichtung
auf 100 Punkte</t>
  </si>
  <si>
    <t>Anzahl Personal-Computer-Arbeitspätze mit Internet (Norm: jeder Computer ist am Internet angeschlossen)</t>
  </si>
  <si>
    <t>Vollzeitäquivalente in Prozent des Sollwertes</t>
  </si>
  <si>
    <t>Tatsächliche wöchentliche Öffnungszeiten (Anzahl Stunden)</t>
  </si>
  <si>
    <t>Sollwert Anzahl Veranstaltungen pro Jahr</t>
  </si>
  <si>
    <t>Total</t>
  </si>
  <si>
    <t>Publikumsarbeitsplätze</t>
  </si>
  <si>
    <t xml:space="preserve">Öffnungszeiten </t>
  </si>
  <si>
    <t>Internetanschlüsse für Personal</t>
  </si>
  <si>
    <t xml:space="preserve">Internetanschlüsse für Publikum </t>
  </si>
  <si>
    <t>maximal erreichbare Punkte
(Total Punkte: 100)</t>
  </si>
  <si>
    <t>Differenz zwischen
 erreichtem und max.Wert (Potential
für Verbesserung)</t>
  </si>
  <si>
    <t>Kundschaft</t>
  </si>
  <si>
    <t>Bestand an aktiven Kundinnen und Kunden in Prozent des Sollwertes</t>
  </si>
  <si>
    <t>der Bevölkerung</t>
  </si>
  <si>
    <t>Fläche (GB: Soll-Quadratmeter pro 1000 Medien)</t>
  </si>
  <si>
    <t>Fläche (GSB)</t>
  </si>
  <si>
    <t>m2/1000 Medien</t>
  </si>
  <si>
    <t xml:space="preserve">Dynamische Bibliotheksbewertung </t>
  </si>
  <si>
    <r>
      <t>PLZ und Ort</t>
    </r>
    <r>
      <rPr>
        <sz val="8"/>
        <rFont val="Arial"/>
        <family val="2"/>
      </rPr>
      <t xml:space="preserve">  (Angaben in nebenstehende gelbe Felder eintragen)</t>
    </r>
  </si>
  <si>
    <t>Adresse</t>
  </si>
  <si>
    <t>Ansprechperson</t>
  </si>
  <si>
    <t>Telefon</t>
  </si>
  <si>
    <t>E-Mailadresse</t>
  </si>
  <si>
    <t>Name der Bibliothek</t>
  </si>
  <si>
    <t>Bibliothekarische Ausbildungsstufe</t>
  </si>
  <si>
    <t>Leiterin/Leiter</t>
  </si>
  <si>
    <t>SAB Leitungskurs</t>
  </si>
  <si>
    <t>ZB-Einführungskurs (1 Woche)</t>
  </si>
  <si>
    <t>Bemerkungen:</t>
  </si>
  <si>
    <t>Besondere Stärken der Bibliothek aufführen, evtl. eigene Jahresziele oder Standards definieren.</t>
  </si>
  <si>
    <t>Bibl. Berufsausbildung I+D oder BBS</t>
  </si>
  <si>
    <t>Basisinformation über Gemeindewebsite</t>
  </si>
  <si>
    <t>Veranstaltungen (Lesungen, Bücherkaffee, Führungen, Veranstaltungen usw.)</t>
  </si>
  <si>
    <t>Medienkosten</t>
  </si>
  <si>
    <t>Raumkosten</t>
  </si>
  <si>
    <t xml:space="preserve">Bewertung wurde ausgefüllt von  </t>
  </si>
  <si>
    <t xml:space="preserve">am  </t>
  </si>
  <si>
    <t>Mietkosten pro m2 und Jahr</t>
  </si>
  <si>
    <t>Sollaufwand pro Einwohner</t>
  </si>
  <si>
    <t>SAB-Grundkurs(=ZB-Aufbaukurs)</t>
  </si>
  <si>
    <t>ZB-Kurs (vor 1999 inkl. Leitungskurs)</t>
  </si>
  <si>
    <t>Link Gemeindewebsite zur Biblioth.</t>
  </si>
  <si>
    <t>Biblioth. Info auf Gemeindewebsite</t>
  </si>
  <si>
    <t>Personalkosten</t>
  </si>
  <si>
    <t>bis:</t>
  </si>
  <si>
    <t>von:</t>
  </si>
  <si>
    <t>Anteil Leitung der zur Verfügung stehenden Stellenprozent</t>
  </si>
  <si>
    <t>Mindestpensen</t>
  </si>
  <si>
    <t>Stunden/Woche</t>
  </si>
  <si>
    <t>Personal</t>
  </si>
  <si>
    <t>Jahrespensum pro Mitarbeitende</t>
  </si>
  <si>
    <t>Gewichtung:</t>
  </si>
  <si>
    <t>Vollzeitäquivalente</t>
  </si>
  <si>
    <t>Leitungsperson</t>
  </si>
  <si>
    <t>Pensum Mitarbeitende</t>
  </si>
  <si>
    <t>Leiterausbildung</t>
  </si>
  <si>
    <t>ohne Ausbildung</t>
  </si>
  <si>
    <t>Anzahl Mit. mit SAB-Ausbildung/Anzahl Mit. (ohne Leitung)</t>
  </si>
  <si>
    <t>Anzahl Mitarbeiter / Mitarbeiterinnen mit SAB-Ausbildung  (ohne Leiterin/Leiter)</t>
  </si>
  <si>
    <t>Anzahl Mitarbeiter / Mitarbeiterinnen ohne SAB-Ausbildung (ohne Leiterin/Leiter)</t>
  </si>
  <si>
    <t>Öffnungszeiten</t>
  </si>
  <si>
    <t>Öffnungstage</t>
  </si>
  <si>
    <t>Betreuung der Klassen</t>
  </si>
  <si>
    <t>Öffnungszeiten, Öffnungstage, Betreung der Klassen</t>
  </si>
  <si>
    <t>Gesamtgewichtung:</t>
  </si>
  <si>
    <t>Sa ja?</t>
  </si>
  <si>
    <t>Sa nein?</t>
  </si>
  <si>
    <t>Berücksichtigung des Samstags (Öffnungstage werden damit gewichtet):</t>
  </si>
  <si>
    <t>Samstage</t>
  </si>
  <si>
    <t>Samstag-Öffnungszeiten in Prozent der Sollwerte (unter Berücksichtigung der Soll-Öffnungstage)</t>
  </si>
  <si>
    <t>Sollwert pro Klasse (Std. pro Jahr)</t>
  </si>
  <si>
    <t>Tatsächliche Anzahl Einführungen von Klassen (Einführungen in die Bibliothek, in Suchstrategien etc.)</t>
  </si>
  <si>
    <t>Klasseneinführungen in Prozenten des Sollwertes</t>
  </si>
  <si>
    <t>Aufwand pro Einwohner in Prozenten des Sollwertes</t>
  </si>
  <si>
    <t>Finanzen (laufende Kosten ohne spezielle Aufwendungen (Bsp. Aufstocken Medienbestand))</t>
  </si>
  <si>
    <t>Personalkosten (in Fr.)</t>
  </si>
  <si>
    <t>Medienkosten (in Fr.)</t>
  </si>
  <si>
    <t>Raumkosten (in Fr.)</t>
  </si>
  <si>
    <t>Sollaufwand pro Einwohner (in Fr.)</t>
  </si>
  <si>
    <t>Tatsächlicher Bestand Nonbooks</t>
  </si>
  <si>
    <t>Tatsächliche Anzahl Neuerwerbungen Nonbooks</t>
  </si>
  <si>
    <t>Tatsächlich aktive Kundinnen und Kunden (Definition siehe Bibliotheksstatistik)</t>
  </si>
  <si>
    <t>Arbeitsplätze mit Arbeitsfläche</t>
  </si>
  <si>
    <t>Arbeitsplätze ohne Arbeitsfläche (Sitzplätze)</t>
  </si>
  <si>
    <t>Bestandeserneuerung (in % pro Jahr des Sollbestandes)</t>
  </si>
  <si>
    <t>Besuch von Bibliothekarinnen der öffentlichen Bibliothek in der Schule oder Besuch von Lehr- oder Mediothekspersonen in GB/GSB (z.B: Vorstellen des Bestandes der öffentlichen Bibliothek, Neuerscheinungen, Bücherlisten, Recherchetechniken etc.)</t>
  </si>
  <si>
    <t>Anzahl Schulklassen</t>
  </si>
  <si>
    <t>Tatsächliche Publikumsfläche in Quadratmeter</t>
  </si>
  <si>
    <t>Absprache bezüglich Bestand / Neuanschaffungen mit den Schulen (Mindestens 1 x pro Jahr)</t>
  </si>
  <si>
    <t>Bestand der öffentlichen Bibliothek in der Schule abrufbar</t>
  </si>
  <si>
    <t>Gemeinsame Veranstaltungen der Schule mit der Bibliothek (Autorenlesungen, Präsentationen von Medien usw.)</t>
  </si>
  <si>
    <t>GB</t>
  </si>
  <si>
    <t>GSB</t>
  </si>
  <si>
    <t>Vergütung pro Klasse</t>
  </si>
  <si>
    <t>Totalaufwand (in Fr.)</t>
  </si>
  <si>
    <t>absolute Abweichungen</t>
  </si>
  <si>
    <t xml:space="preserve"> </t>
  </si>
  <si>
    <t>ThWilli</t>
  </si>
  <si>
    <t>Beachte: Auswertung und Angabe der Sollwerte finden erst statt nach Eingabe aller Daten.</t>
  </si>
  <si>
    <t>Tatsächliche Anzahl Publikumsarbeitsplätze mit Tischflächen</t>
  </si>
  <si>
    <t>Tatsächliche Anzahl "Nur-Sitzplätze" ohne Tischflächen</t>
  </si>
  <si>
    <t>Anzahl der Personal-Computer-Arbeitsplätze inkl. Ausleih-PCs</t>
  </si>
  <si>
    <t xml:space="preserve"> Von eigener Website direkter Zugriff auf Online-Katalog oder via Verbundkatalog?</t>
  </si>
  <si>
    <t>IT-Kosten (in Fr.)</t>
  </si>
  <si>
    <t>IT-Kosten</t>
  </si>
  <si>
    <t>16.10</t>
  </si>
  <si>
    <t>16.11</t>
  </si>
  <si>
    <t>übrige Sachkosten (in Fr.)</t>
  </si>
  <si>
    <t>übrige Sachkosten</t>
  </si>
  <si>
    <t xml:space="preserve">Bibliothek am Verbundkatalog angeschlossen? </t>
  </si>
  <si>
    <t>Printmedien und Zeitschriftenabonnemente</t>
  </si>
  <si>
    <t>Nonbooks</t>
  </si>
  <si>
    <t>Bestandeserneuerung pro Jahr</t>
  </si>
  <si>
    <t>Umgesetzer Bestand (Printmedien und Zeitschriftenabonnemente): untere Grenze</t>
  </si>
  <si>
    <t>Umgesetzer Bestand (Printmedien und Zeitschriftenabonnemente): obere Grenze</t>
  </si>
  <si>
    <t>Umgesetzer Bestand (Nonbooks): untere Grenze</t>
  </si>
  <si>
    <t>Umgesetzer Bestand (Nonbooks): obere Grenze</t>
  </si>
  <si>
    <t>Bestandesumsatz</t>
  </si>
  <si>
    <t>Umsatz Printmedien und Zeitschriftenabonnemente in Prozent des optimalen Umsatzes</t>
  </si>
  <si>
    <t>Umsatz Nonbooks in Prozent des optimalen Umsatzes</t>
  </si>
  <si>
    <t>Abs Abweich. zu UG/OG</t>
  </si>
  <si>
    <t>Summe der abs. Wert der Abweichungen</t>
  </si>
  <si>
    <t>Bestandeserneuerung  Printmedien und Zeitschriftenabonnemente in Prozent der Soll-Neuerwerbungen</t>
  </si>
  <si>
    <t>Bestandeserneuerung  Nonbooks in Prozent der Soll-Neuerwerbungen</t>
  </si>
  <si>
    <t>Beachte: neue Zeile mit Alt-Enter, Korrektur des bestehenden Textes durch Doppelklick ins Feld</t>
  </si>
  <si>
    <t xml:space="preserve">
</t>
  </si>
  <si>
    <t>Hier klicken+Typ auswählen!</t>
  </si>
  <si>
    <t>Tatsächliche Publikums-Computer mit Internetanschlüssen</t>
  </si>
  <si>
    <t>Anzahl Publikums-Computer mit Internetanschlüssen in Prozent der Norm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</si>
</sst>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 * #,##0_ ;_ * \-#,##0_ ;_ * &quot;-&quot;_ ;_ @_ "/>
    <numFmt numFmtId="164" formatCode="_-* #,##0.00\ _€_-;\-* #,##0.00\ _€_-;_-* &quot;-&quot;??\ _€_-;_-@_-"/>
    <numFmt numFmtId="165" formatCode="0.0"/>
    <numFmt numFmtId="166" formatCode="&quot;Fläche (Norm: &quot;00&quot; Quadratmeter pro 1000 Medien)&quot;"/>
    <numFmt numFmtId="167" formatCode="&quot;Bestandeserneuerung (Norm mind. &quot;00&quot;% pro Jahr)&quot;"/>
    <numFmt numFmtId="168" formatCode="&quot;Umgesetzer Bestand (optimal &quot;0&quot; Mal)&quot;"/>
    <numFmt numFmtId="169" formatCode="&quot;Personal (&quot;0.00&quot; Vollzeitäquivalente pro 1000 Medien)&quot;"/>
    <numFmt numFmtId="170" formatCode="0.0%"/>
    <numFmt numFmtId="171" formatCode="&quot;Soll-Raumgrösse nach SAB in m2, basierend auf Sollbestand von &quot;0"/>
    <numFmt numFmtId="172" formatCode="&quot;Soll-Raumgrösse nach SAB in m2, basierend auf tatsächlichem Bestand von &quot;0"/>
    <numFmt numFmtId="173" formatCode="&quot;Medienbestand (Norm &quot;0.0&quot; Medien pro Einwohner)&quot;"/>
    <numFmt numFmtId="174" formatCode="&quot;Soll-Neuererwerbungen bei &quot;0&quot;% des Sollbestandes&quot;"/>
    <numFmt numFmtId="175" formatCode="&quot;Sollwert Internetanschlüsse für Bibliothekbenutzer (&quot;0.00&quot;% pro 1000 Einwohner)&quot;"/>
    <numFmt numFmtId="176" formatCode="&quot;Gemeinde&quot;"/>
    <numFmt numFmtId="177" formatCode="0%\ &quot;Jahrespensum&quot;"/>
    <numFmt numFmtId="178" formatCode="0\ &quot;Std./Woche=&quot;"/>
  </numFmts>
  <fonts count="19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Arial"/>
      <family val="2"/>
    </font>
    <font>
      <b/>
      <sz val="10"/>
      <color indexed="81"/>
      <name val="Arial"/>
      <family val="2"/>
    </font>
    <font>
      <i/>
      <sz val="10"/>
      <name val="Arial"/>
      <family val="2"/>
    </font>
    <font>
      <sz val="8"/>
      <color indexed="9"/>
      <name val="Arial"/>
      <family val="2"/>
    </font>
    <font>
      <b/>
      <i/>
      <sz val="8"/>
      <color indexed="10"/>
      <name val="Arial"/>
      <family val="2"/>
    </font>
    <font>
      <b/>
      <sz val="8"/>
      <color indexed="9"/>
      <name val="Arial"/>
      <family val="2"/>
    </font>
    <font>
      <b/>
      <sz val="8"/>
      <color indexed="81"/>
      <name val="Tahoma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9" fontId="0" fillId="0" borderId="0" xfId="2" applyFont="1"/>
    <xf numFmtId="9" fontId="0" fillId="0" borderId="0" xfId="0" applyNumberFormat="1"/>
    <xf numFmtId="165" fontId="0" fillId="0" borderId="0" xfId="0" applyNumberFormat="1"/>
    <xf numFmtId="0" fontId="6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9" fontId="3" fillId="0" borderId="0" xfId="0" applyNumberFormat="1" applyFont="1" applyAlignment="1">
      <alignment vertical="top" wrapText="1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170" fontId="0" fillId="0" borderId="0" xfId="2" applyNumberFormat="1" applyFont="1"/>
    <xf numFmtId="10" fontId="1" fillId="0" borderId="0" xfId="0" applyNumberFormat="1" applyFont="1"/>
    <xf numFmtId="0" fontId="0" fillId="0" borderId="0" xfId="0" applyAlignment="1">
      <alignment horizontal="right"/>
    </xf>
    <xf numFmtId="9" fontId="3" fillId="2" borderId="0" xfId="2" applyFont="1" applyFill="1" applyAlignment="1" applyProtection="1">
      <alignment horizontal="right" vertical="top"/>
      <protection locked="0"/>
    </xf>
    <xf numFmtId="0" fontId="7" fillId="0" borderId="0" xfId="0" applyFont="1"/>
    <xf numFmtId="0" fontId="1" fillId="0" borderId="0" xfId="0" applyFont="1" applyAlignment="1">
      <alignment wrapText="1"/>
    </xf>
    <xf numFmtId="0" fontId="3" fillId="0" borderId="0" xfId="0" applyNumberFormat="1" applyFont="1" applyAlignment="1" applyProtection="1">
      <alignment vertical="top"/>
    </xf>
    <xf numFmtId="0" fontId="2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165" fontId="3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left" vertical="top" wrapText="1"/>
    </xf>
    <xf numFmtId="165" fontId="2" fillId="0" borderId="0" xfId="0" applyNumberFormat="1" applyFont="1" applyProtection="1"/>
    <xf numFmtId="165" fontId="3" fillId="0" borderId="0" xfId="0" applyNumberFormat="1" applyFont="1" applyProtection="1"/>
    <xf numFmtId="171" fontId="3" fillId="0" borderId="0" xfId="0" applyNumberFormat="1" applyFont="1" applyAlignment="1" applyProtection="1">
      <alignment horizontal="left" vertical="top" wrapText="1"/>
    </xf>
    <xf numFmtId="172" fontId="3" fillId="0" borderId="0" xfId="0" applyNumberFormat="1" applyFont="1" applyAlignment="1" applyProtection="1">
      <alignment horizontal="left" vertical="top" wrapText="1"/>
    </xf>
    <xf numFmtId="174" fontId="3" fillId="0" borderId="0" xfId="0" applyNumberFormat="1" applyFont="1" applyAlignment="1" applyProtection="1">
      <alignment horizontal="left" vertical="top" wrapText="1"/>
    </xf>
    <xf numFmtId="10" fontId="3" fillId="0" borderId="0" xfId="0" applyNumberFormat="1" applyFont="1" applyAlignment="1" applyProtection="1">
      <alignment horizontal="left" vertical="top" wrapText="1"/>
    </xf>
    <xf numFmtId="49" fontId="3" fillId="0" borderId="0" xfId="0" applyNumberFormat="1" applyFont="1" applyAlignment="1" applyProtection="1">
      <alignment vertical="top" wrapText="1"/>
    </xf>
    <xf numFmtId="49" fontId="2" fillId="0" borderId="0" xfId="0" applyNumberFormat="1" applyFont="1" applyAlignment="1" applyProtection="1">
      <alignment vertical="top" wrapText="1"/>
    </xf>
    <xf numFmtId="0" fontId="3" fillId="0" borderId="0" xfId="0" applyNumberFormat="1" applyFont="1" applyAlignment="1" applyProtection="1">
      <alignment horizontal="left" vertical="top" wrapText="1"/>
    </xf>
    <xf numFmtId="175" fontId="3" fillId="0" borderId="0" xfId="0" applyNumberFormat="1" applyFont="1" applyAlignment="1" applyProtection="1">
      <alignment horizontal="left" vertical="top" wrapText="1"/>
    </xf>
    <xf numFmtId="0" fontId="2" fillId="3" borderId="0" xfId="0" applyFont="1" applyFill="1" applyAlignment="1" applyProtection="1">
      <alignment vertical="top" wrapText="1"/>
    </xf>
    <xf numFmtId="0" fontId="5" fillId="0" borderId="0" xfId="0" applyFont="1"/>
    <xf numFmtId="165" fontId="5" fillId="0" borderId="1" xfId="2" applyNumberFormat="1" applyFont="1" applyBorder="1"/>
    <xf numFmtId="9" fontId="5" fillId="0" borderId="0" xfId="0" applyNumberFormat="1" applyFont="1"/>
    <xf numFmtId="165" fontId="5" fillId="0" borderId="0" xfId="0" applyNumberFormat="1" applyFont="1"/>
    <xf numFmtId="0" fontId="0" fillId="0" borderId="0" xfId="0" applyAlignment="1">
      <alignment horizontal="right" vertical="top"/>
    </xf>
    <xf numFmtId="165" fontId="3" fillId="0" borderId="0" xfId="0" applyNumberFormat="1" applyFont="1" applyAlignment="1" applyProtection="1">
      <alignment horizontal="center" wrapText="1"/>
    </xf>
    <xf numFmtId="176" fontId="3" fillId="0" borderId="0" xfId="0" applyNumberFormat="1" applyFont="1" applyAlignment="1" applyProtection="1">
      <alignment horizontal="left" vertical="top" wrapText="1"/>
    </xf>
    <xf numFmtId="0" fontId="3" fillId="0" borderId="0" xfId="0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left"/>
    </xf>
    <xf numFmtId="0" fontId="3" fillId="0" borderId="0" xfId="0" applyNumberFormat="1" applyFont="1" applyAlignment="1" applyProtection="1">
      <alignment vertical="top" wrapText="1"/>
    </xf>
    <xf numFmtId="0" fontId="3" fillId="0" borderId="0" xfId="0" applyFont="1" applyFill="1" applyAlignment="1" applyProtection="1">
      <alignment vertical="top" wrapText="1"/>
    </xf>
    <xf numFmtId="165" fontId="3" fillId="0" borderId="0" xfId="0" applyNumberFormat="1" applyFont="1" applyFill="1" applyProtection="1"/>
    <xf numFmtId="176" fontId="2" fillId="0" borderId="0" xfId="0" applyNumberFormat="1" applyFont="1" applyAlignment="1" applyProtection="1">
      <alignment horizontal="left" vertical="top" wrapText="1"/>
    </xf>
    <xf numFmtId="0" fontId="3" fillId="0" borderId="0" xfId="0" applyFont="1" applyAlignment="1">
      <alignment horizontal="right" vertical="top"/>
    </xf>
    <xf numFmtId="0" fontId="7" fillId="0" borderId="0" xfId="0" applyFont="1" applyAlignment="1">
      <alignment horizontal="right"/>
    </xf>
    <xf numFmtId="1" fontId="3" fillId="0" borderId="0" xfId="2" applyNumberFormat="1" applyFont="1" applyFill="1" applyAlignment="1" applyProtection="1">
      <alignment horizontal="right" vertical="top"/>
    </xf>
    <xf numFmtId="9" fontId="3" fillId="0" borderId="0" xfId="2" applyFont="1" applyAlignment="1" applyProtection="1">
      <alignment horizontal="right" vertical="top"/>
    </xf>
    <xf numFmtId="3" fontId="3" fillId="2" borderId="0" xfId="0" applyNumberFormat="1" applyFont="1" applyFill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horizontal="right" vertical="top"/>
      <protection locked="0"/>
    </xf>
    <xf numFmtId="1" fontId="3" fillId="2" borderId="0" xfId="0" applyNumberFormat="1" applyFont="1" applyFill="1" applyAlignment="1" applyProtection="1">
      <alignment horizontal="right" vertical="top"/>
      <protection locked="0"/>
    </xf>
    <xf numFmtId="3" fontId="3" fillId="0" borderId="0" xfId="0" applyNumberFormat="1" applyFont="1" applyAlignment="1" applyProtection="1">
      <alignment vertical="top"/>
    </xf>
    <xf numFmtId="1" fontId="2" fillId="0" borderId="0" xfId="0" applyNumberFormat="1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right" vertical="top"/>
    </xf>
    <xf numFmtId="3" fontId="3" fillId="2" borderId="0" xfId="0" applyNumberFormat="1" applyFont="1" applyFill="1" applyAlignment="1" applyProtection="1">
      <alignment vertical="top"/>
      <protection locked="0"/>
    </xf>
    <xf numFmtId="3" fontId="3" fillId="0" borderId="0" xfId="0" applyNumberFormat="1" applyFont="1" applyFill="1" applyAlignment="1" applyProtection="1">
      <alignment horizontal="right" vertical="top"/>
    </xf>
    <xf numFmtId="9" fontId="3" fillId="0" borderId="0" xfId="2" applyFont="1" applyAlignment="1" applyProtection="1">
      <alignment vertical="top"/>
    </xf>
    <xf numFmtId="0" fontId="3" fillId="0" borderId="0" xfId="0" applyFont="1" applyAlignment="1" applyProtection="1">
      <alignment horizontal="right" vertical="top"/>
    </xf>
    <xf numFmtId="165" fontId="3" fillId="0" borderId="0" xfId="0" applyNumberFormat="1" applyFont="1" applyAlignment="1" applyProtection="1">
      <alignment horizontal="right" vertical="top"/>
    </xf>
    <xf numFmtId="2" fontId="3" fillId="2" borderId="0" xfId="0" applyNumberFormat="1" applyFont="1" applyFill="1" applyAlignment="1" applyProtection="1">
      <alignment horizontal="right" vertical="top"/>
      <protection locked="0"/>
    </xf>
    <xf numFmtId="1" fontId="3" fillId="2" borderId="0" xfId="2" applyNumberFormat="1" applyFont="1" applyFill="1" applyAlignment="1" applyProtection="1">
      <alignment horizontal="right" vertical="top"/>
      <protection locked="0"/>
    </xf>
    <xf numFmtId="0" fontId="3" fillId="2" borderId="0" xfId="2" applyNumberFormat="1" applyFont="1" applyFill="1" applyAlignment="1" applyProtection="1">
      <alignment horizontal="right" vertical="top"/>
      <protection locked="0"/>
    </xf>
    <xf numFmtId="1" fontId="3" fillId="0" borderId="0" xfId="0" applyNumberFormat="1" applyFont="1" applyAlignment="1" applyProtection="1">
      <alignment horizontal="right" vertical="top"/>
    </xf>
    <xf numFmtId="3" fontId="3" fillId="0" borderId="0" xfId="1" applyNumberFormat="1" applyFont="1" applyAlignment="1" applyProtection="1">
      <alignment horizontal="right" vertical="top"/>
    </xf>
    <xf numFmtId="3" fontId="3" fillId="2" borderId="0" xfId="1" applyNumberFormat="1" applyFont="1" applyFill="1" applyAlignment="1" applyProtection="1">
      <alignment horizontal="right" vertical="top"/>
      <protection locked="0"/>
    </xf>
    <xf numFmtId="3" fontId="3" fillId="0" borderId="0" xfId="0" applyNumberFormat="1" applyFont="1" applyAlignment="1" applyProtection="1">
      <alignment horizontal="right" vertical="top"/>
    </xf>
    <xf numFmtId="9" fontId="3" fillId="0" borderId="0" xfId="2" applyNumberFormat="1" applyFont="1" applyFill="1" applyAlignment="1" applyProtection="1">
      <alignment horizontal="right" vertical="top"/>
    </xf>
    <xf numFmtId="9" fontId="3" fillId="0" borderId="0" xfId="2" applyNumberFormat="1" applyFont="1" applyAlignment="1" applyProtection="1">
      <alignment horizontal="right" vertical="top"/>
    </xf>
    <xf numFmtId="0" fontId="3" fillId="0" borderId="0" xfId="0" applyFont="1" applyAlignment="1" applyProtection="1">
      <alignment vertical="top"/>
    </xf>
    <xf numFmtId="9" fontId="3" fillId="0" borderId="0" xfId="0" applyNumberFormat="1" applyFont="1" applyAlignment="1" applyProtection="1">
      <alignment horizontal="right" vertical="top"/>
    </xf>
    <xf numFmtId="0" fontId="3" fillId="3" borderId="0" xfId="0" applyFont="1" applyFill="1" applyAlignment="1" applyProtection="1">
      <alignment horizontal="right" vertical="top"/>
    </xf>
    <xf numFmtId="0" fontId="3" fillId="0" borderId="0" xfId="0" applyFont="1" applyFill="1" applyAlignment="1" applyProtection="1">
      <alignment vertical="top"/>
    </xf>
    <xf numFmtId="0" fontId="3" fillId="2" borderId="0" xfId="0" applyFont="1" applyFill="1" applyAlignment="1" applyProtection="1">
      <alignment horizontal="center" vertical="top"/>
      <protection locked="0"/>
    </xf>
    <xf numFmtId="14" fontId="3" fillId="2" borderId="0" xfId="0" applyNumberFormat="1" applyFont="1" applyFill="1" applyAlignment="1" applyProtection="1">
      <alignment horizontal="center" vertical="top"/>
      <protection locked="0"/>
    </xf>
    <xf numFmtId="0" fontId="0" fillId="0" borderId="0" xfId="0" applyAlignment="1" applyProtection="1">
      <alignment horizontal="right" vertical="top"/>
    </xf>
    <xf numFmtId="165" fontId="2" fillId="0" borderId="0" xfId="0" applyNumberFormat="1" applyFont="1" applyAlignment="1" applyProtection="1">
      <alignment horizontal="right" vertical="top"/>
    </xf>
    <xf numFmtId="165" fontId="2" fillId="0" borderId="0" xfId="2" applyNumberFormat="1" applyFont="1" applyAlignment="1" applyProtection="1">
      <alignment horizontal="right" vertical="top"/>
    </xf>
    <xf numFmtId="165" fontId="2" fillId="0" borderId="0" xfId="0" applyNumberFormat="1" applyFont="1" applyAlignment="1" applyProtection="1">
      <alignment vertical="top"/>
    </xf>
    <xf numFmtId="165" fontId="3" fillId="0" borderId="0" xfId="0" applyNumberFormat="1" applyFont="1" applyAlignment="1" applyProtection="1">
      <alignment vertical="top"/>
    </xf>
    <xf numFmtId="165" fontId="2" fillId="3" borderId="0" xfId="2" applyNumberFormat="1" applyFont="1" applyFill="1" applyAlignment="1" applyProtection="1">
      <alignment horizontal="right" vertical="top"/>
    </xf>
    <xf numFmtId="1" fontId="2" fillId="0" borderId="0" xfId="0" applyNumberFormat="1" applyFont="1" applyFill="1" applyAlignment="1" applyProtection="1">
      <alignment vertical="top"/>
    </xf>
    <xf numFmtId="0" fontId="0" fillId="0" borderId="0" xfId="0" applyNumberFormat="1"/>
    <xf numFmtId="0" fontId="6" fillId="0" borderId="0" xfId="0" applyFont="1" applyAlignment="1">
      <alignment vertical="top" wrapText="1"/>
    </xf>
    <xf numFmtId="178" fontId="6" fillId="0" borderId="0" xfId="0" applyNumberFormat="1" applyFont="1" applyAlignment="1">
      <alignment horizontal="right"/>
    </xf>
    <xf numFmtId="177" fontId="6" fillId="0" borderId="0" xfId="0" applyNumberFormat="1" applyFont="1"/>
    <xf numFmtId="2" fontId="3" fillId="0" borderId="0" xfId="0" applyNumberFormat="1" applyFont="1" applyAlignment="1" applyProtection="1">
      <alignment horizontal="right" vertical="top"/>
    </xf>
    <xf numFmtId="2" fontId="3" fillId="0" borderId="0" xfId="0" applyNumberFormat="1" applyFont="1" applyProtection="1"/>
    <xf numFmtId="9" fontId="0" fillId="0" borderId="0" xfId="0" applyNumberFormat="1" applyAlignment="1">
      <alignment horizontal="right"/>
    </xf>
    <xf numFmtId="9" fontId="0" fillId="0" borderId="0" xfId="0" applyNumberFormat="1" applyAlignment="1">
      <alignment horizontal="right" wrapText="1"/>
    </xf>
    <xf numFmtId="9" fontId="0" fillId="0" borderId="0" xfId="0" applyNumberFormat="1" applyAlignment="1">
      <alignment vertical="top"/>
    </xf>
    <xf numFmtId="9" fontId="0" fillId="0" borderId="0" xfId="0" applyNumberFormat="1" applyAlignment="1">
      <alignment vertical="top" wrapText="1"/>
    </xf>
    <xf numFmtId="1" fontId="3" fillId="0" borderId="0" xfId="2" applyNumberFormat="1" applyFont="1" applyAlignment="1" applyProtection="1">
      <alignment horizontal="right" vertical="top"/>
    </xf>
    <xf numFmtId="0" fontId="5" fillId="0" borderId="0" xfId="0" applyFont="1" applyAlignment="1">
      <alignment horizontal="right"/>
    </xf>
    <xf numFmtId="9" fontId="14" fillId="0" borderId="0" xfId="0" applyNumberFormat="1" applyFont="1"/>
    <xf numFmtId="0" fontId="0" fillId="0" borderId="0" xfId="0" applyAlignment="1">
      <alignment horizontal="right" wrapText="1"/>
    </xf>
    <xf numFmtId="9" fontId="3" fillId="0" borderId="0" xfId="2" applyFont="1" applyFill="1" applyAlignment="1" applyProtection="1">
      <alignment horizontal="right" vertical="top"/>
    </xf>
    <xf numFmtId="0" fontId="0" fillId="0" borderId="0" xfId="0" quotePrefix="1" applyAlignment="1">
      <alignment horizontal="right" vertical="top"/>
    </xf>
    <xf numFmtId="0" fontId="7" fillId="0" borderId="0" xfId="0" applyFont="1" applyAlignment="1">
      <alignment vertical="top"/>
    </xf>
    <xf numFmtId="9" fontId="0" fillId="0" borderId="0" xfId="0" applyNumberFormat="1" applyAlignment="1">
      <alignment horizontal="right" vertical="top" wrapText="1"/>
    </xf>
    <xf numFmtId="0" fontId="3" fillId="0" borderId="0" xfId="0" applyNumberFormat="1" applyFont="1" applyAlignment="1">
      <alignment wrapText="1"/>
    </xf>
    <xf numFmtId="9" fontId="0" fillId="0" borderId="0" xfId="0" applyNumberFormat="1" applyAlignment="1">
      <alignment horizontal="left" wrapText="1"/>
    </xf>
    <xf numFmtId="9" fontId="3" fillId="0" borderId="0" xfId="0" applyNumberFormat="1" applyFont="1" applyFill="1" applyAlignment="1" applyProtection="1">
      <alignment horizontal="right" vertical="top"/>
    </xf>
    <xf numFmtId="0" fontId="3" fillId="0" borderId="0" xfId="0" applyNumberFormat="1" applyFont="1" applyFill="1" applyAlignment="1" applyProtection="1">
      <alignment horizontal="right" vertical="top"/>
    </xf>
    <xf numFmtId="170" fontId="0" fillId="0" borderId="0" xfId="0" applyNumberFormat="1"/>
    <xf numFmtId="2" fontId="2" fillId="0" borderId="0" xfId="0" applyNumberFormat="1" applyFont="1" applyAlignment="1" applyProtection="1">
      <alignment horizontal="right" vertical="top"/>
    </xf>
    <xf numFmtId="2" fontId="9" fillId="0" borderId="0" xfId="0" applyNumberFormat="1" applyFont="1" applyAlignment="1" applyProtection="1">
      <alignment horizontal="right" vertical="top"/>
    </xf>
    <xf numFmtId="165" fontId="2" fillId="0" borderId="0" xfId="0" applyNumberFormat="1" applyFont="1" applyAlignment="1" applyProtection="1">
      <alignment horizontal="center" wrapText="1"/>
    </xf>
    <xf numFmtId="165" fontId="2" fillId="0" borderId="0" xfId="0" applyNumberFormat="1" applyFont="1" applyAlignment="1" applyProtection="1">
      <alignment horizontal="center" vertical="top" wrapText="1"/>
    </xf>
    <xf numFmtId="165" fontId="3" fillId="0" borderId="0" xfId="0" applyNumberFormat="1" applyFont="1" applyFill="1" applyAlignment="1" applyProtection="1">
      <alignment vertical="top"/>
    </xf>
    <xf numFmtId="1" fontId="2" fillId="3" borderId="0" xfId="2" applyNumberFormat="1" applyFont="1" applyFill="1" applyAlignment="1" applyProtection="1">
      <alignment horizontal="right" vertical="top"/>
    </xf>
    <xf numFmtId="41" fontId="3" fillId="2" borderId="0" xfId="0" applyNumberFormat="1" applyFont="1" applyFill="1" applyAlignment="1" applyProtection="1">
      <alignment horizontal="right" vertical="top"/>
      <protection locked="0"/>
    </xf>
    <xf numFmtId="41" fontId="3" fillId="0" borderId="0" xfId="0" applyNumberFormat="1" applyFont="1" applyAlignment="1" applyProtection="1">
      <alignment horizontal="right" vertical="top"/>
    </xf>
    <xf numFmtId="0" fontId="3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right" vertical="top" wrapText="1"/>
    </xf>
    <xf numFmtId="0" fontId="2" fillId="0" borderId="0" xfId="0" applyNumberFormat="1" applyFont="1" applyAlignment="1" applyProtection="1">
      <alignment horizontal="right" vertical="top"/>
    </xf>
    <xf numFmtId="0" fontId="2" fillId="0" borderId="0" xfId="0" applyFont="1" applyAlignment="1" applyProtection="1">
      <alignment horizontal="right" vertical="top" wrapText="1"/>
    </xf>
    <xf numFmtId="0" fontId="3" fillId="0" borderId="0" xfId="0" quotePrefix="1" applyNumberFormat="1" applyFont="1" applyAlignment="1" applyProtection="1">
      <alignment horizontal="right" vertical="top"/>
    </xf>
    <xf numFmtId="0" fontId="2" fillId="0" borderId="0" xfId="0" applyNumberFormat="1" applyFont="1" applyFill="1" applyAlignment="1" applyProtection="1">
      <alignment horizontal="right" vertical="top"/>
    </xf>
    <xf numFmtId="0" fontId="2" fillId="0" borderId="0" xfId="0" applyNumberFormat="1" applyFont="1" applyAlignment="1" applyProtection="1">
      <alignment vertical="top" wrapText="1"/>
    </xf>
    <xf numFmtId="0" fontId="2" fillId="0" borderId="0" xfId="0" applyFont="1" applyFill="1" applyAlignment="1" applyProtection="1">
      <alignment vertical="top" wrapText="1"/>
    </xf>
    <xf numFmtId="1" fontId="3" fillId="0" borderId="0" xfId="0" applyNumberFormat="1" applyFont="1" applyAlignment="1" applyProtection="1">
      <alignment vertical="top" wrapText="1"/>
    </xf>
    <xf numFmtId="165" fontId="6" fillId="0" borderId="0" xfId="0" applyNumberFormat="1" applyFont="1"/>
    <xf numFmtId="10" fontId="3" fillId="0" borderId="0" xfId="2" applyNumberFormat="1" applyFont="1" applyAlignment="1" applyProtection="1">
      <alignment horizontal="right" vertical="top"/>
    </xf>
    <xf numFmtId="10" fontId="3" fillId="0" borderId="0" xfId="0" applyNumberFormat="1" applyFont="1" applyAlignment="1" applyProtection="1">
      <alignment vertical="top"/>
    </xf>
    <xf numFmtId="10" fontId="15" fillId="0" borderId="0" xfId="0" applyNumberFormat="1" applyFont="1" applyAlignment="1" applyProtection="1">
      <alignment vertical="top"/>
    </xf>
    <xf numFmtId="165" fontId="15" fillId="0" borderId="0" xfId="0" applyNumberFormat="1" applyFont="1" applyAlignment="1" applyProtection="1">
      <alignment horizontal="left" vertical="top"/>
    </xf>
    <xf numFmtId="176" fontId="16" fillId="0" borderId="0" xfId="0" applyNumberFormat="1" applyFont="1" applyAlignment="1" applyProtection="1">
      <alignment horizontal="left" wrapText="1"/>
    </xf>
    <xf numFmtId="0" fontId="3" fillId="3" borderId="0" xfId="0" applyNumberFormat="1" applyFont="1" applyFill="1" applyAlignment="1" applyProtection="1">
      <alignment horizontal="right" vertical="top"/>
    </xf>
    <xf numFmtId="0" fontId="3" fillId="3" borderId="0" xfId="0" applyFont="1" applyFill="1" applyAlignment="1" applyProtection="1">
      <alignment vertical="top" wrapText="1"/>
    </xf>
    <xf numFmtId="0" fontId="3" fillId="3" borderId="0" xfId="0" applyFont="1" applyFill="1" applyAlignment="1" applyProtection="1">
      <alignment vertical="top"/>
    </xf>
    <xf numFmtId="1" fontId="2" fillId="3" borderId="0" xfId="0" applyNumberFormat="1" applyFont="1" applyFill="1" applyAlignment="1" applyProtection="1">
      <alignment vertical="top"/>
    </xf>
    <xf numFmtId="165" fontId="3" fillId="3" borderId="0" xfId="0" applyNumberFormat="1" applyFont="1" applyFill="1" applyAlignment="1" applyProtection="1">
      <alignment vertical="top"/>
    </xf>
    <xf numFmtId="165" fontId="3" fillId="3" borderId="0" xfId="0" applyNumberFormat="1" applyFont="1" applyFill="1" applyProtection="1"/>
    <xf numFmtId="0" fontId="3" fillId="3" borderId="0" xfId="0" applyFont="1" applyFill="1" applyProtection="1"/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0" fontId="8" fillId="3" borderId="0" xfId="0" applyFont="1" applyFill="1" applyProtection="1"/>
    <xf numFmtId="0" fontId="2" fillId="3" borderId="0" xfId="0" applyFont="1" applyFill="1" applyProtection="1"/>
    <xf numFmtId="0" fontId="9" fillId="3" borderId="0" xfId="0" applyFont="1" applyFill="1" applyProtection="1"/>
    <xf numFmtId="165" fontId="15" fillId="0" borderId="0" xfId="0" applyNumberFormat="1" applyFont="1" applyFill="1" applyAlignment="1" applyProtection="1">
      <alignment vertical="top"/>
    </xf>
    <xf numFmtId="9" fontId="3" fillId="0" borderId="0" xfId="2" applyNumberFormat="1" applyFont="1" applyAlignment="1" applyProtection="1">
      <alignment vertical="top"/>
    </xf>
    <xf numFmtId="165" fontId="15" fillId="0" borderId="0" xfId="0" applyNumberFormat="1" applyFont="1" applyAlignment="1" applyProtection="1">
      <alignment horizontal="right" vertical="top"/>
    </xf>
    <xf numFmtId="9" fontId="15" fillId="0" borderId="0" xfId="2" applyFont="1" applyAlignment="1" applyProtection="1">
      <alignment horizontal="right" vertical="top"/>
    </xf>
    <xf numFmtId="165" fontId="15" fillId="0" borderId="0" xfId="0" applyNumberFormat="1" applyFont="1" applyAlignment="1" applyProtection="1">
      <alignment vertical="top"/>
    </xf>
    <xf numFmtId="9" fontId="15" fillId="0" borderId="0" xfId="2" applyFont="1" applyAlignment="1" applyProtection="1">
      <alignment vertical="top"/>
    </xf>
    <xf numFmtId="165" fontId="17" fillId="0" borderId="0" xfId="0" applyNumberFormat="1" applyFont="1" applyAlignment="1" applyProtection="1">
      <alignment horizontal="right" vertical="top"/>
    </xf>
    <xf numFmtId="10" fontId="15" fillId="0" borderId="0" xfId="2" applyNumberFormat="1" applyFont="1" applyAlignment="1" applyProtection="1">
      <alignment horizontal="right" vertical="top"/>
    </xf>
    <xf numFmtId="165" fontId="3" fillId="0" borderId="0" xfId="0" applyNumberFormat="1" applyFont="1" applyAlignment="1" applyProtection="1">
      <alignment horizontal="center" wrapText="1"/>
    </xf>
    <xf numFmtId="49" fontId="4" fillId="0" borderId="0" xfId="0" applyNumberFormat="1" applyFont="1" applyFill="1" applyAlignment="1" applyProtection="1">
      <alignment horizontal="center" vertical="top" wrapText="1"/>
    </xf>
    <xf numFmtId="1" fontId="2" fillId="2" borderId="0" xfId="0" applyNumberFormat="1" applyFont="1" applyFill="1" applyBorder="1" applyAlignment="1" applyProtection="1">
      <alignment horizontal="right" wrapText="1"/>
      <protection locked="0"/>
    </xf>
    <xf numFmtId="0" fontId="0" fillId="2" borderId="0" xfId="0" applyFill="1" applyBorder="1" applyAlignment="1" applyProtection="1">
      <protection locked="0"/>
    </xf>
    <xf numFmtId="1" fontId="2" fillId="0" borderId="0" xfId="0" applyNumberFormat="1" applyFont="1" applyAlignment="1" applyProtection="1">
      <alignment horizontal="right" wrapText="1"/>
    </xf>
    <xf numFmtId="0" fontId="0" fillId="0" borderId="0" xfId="0" applyAlignment="1" applyProtection="1">
      <alignment horizontal="right"/>
    </xf>
    <xf numFmtId="0" fontId="0" fillId="0" borderId="0" xfId="0" applyAlignment="1">
      <alignment horizontal="center" wrapText="1"/>
    </xf>
    <xf numFmtId="0" fontId="3" fillId="2" borderId="0" xfId="0" applyFont="1" applyFill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176" fontId="16" fillId="0" borderId="0" xfId="0" applyNumberFormat="1" applyFont="1" applyAlignment="1" applyProtection="1">
      <alignment horizontal="left" wrapText="1"/>
    </xf>
    <xf numFmtId="49" fontId="4" fillId="0" borderId="0" xfId="0" applyNumberFormat="1" applyFont="1" applyAlignment="1" applyProtection="1">
      <alignment horizontal="left" vertical="top" wrapText="1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169" fontId="5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173" fontId="5" fillId="0" borderId="0" xfId="0" applyNumberFormat="1" applyFont="1" applyAlignment="1">
      <alignment horizontal="left" vertical="top" wrapText="1"/>
    </xf>
    <xf numFmtId="167" fontId="5" fillId="0" borderId="0" xfId="0" applyNumberFormat="1" applyFont="1" applyAlignment="1">
      <alignment horizontal="left" vertical="top" wrapText="1"/>
    </xf>
    <xf numFmtId="168" fontId="5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left" vertical="top"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Verbesserungspotenzial</a:t>
            </a:r>
          </a:p>
        </c:rich>
      </c:tx>
      <c:layout>
        <c:manualLayout>
          <c:xMode val="edge"/>
          <c:yMode val="edge"/>
          <c:x val="2.7204502814258912E-2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984990619136961"/>
          <c:y val="4.8120300751879702E-2"/>
          <c:w val="0.7326454033771107"/>
          <c:h val="0.89022556390977448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HilfsblattDiagramm!$A$1:$A$16</c:f>
              <c:strCache>
                <c:ptCount val="16"/>
                <c:pt idx="0">
                  <c:v>1 Kundschaft (Norm: 20% der Bevölkerung)</c:v>
                </c:pt>
                <c:pt idx="1">
                  <c:v>2 Personal</c:v>
                </c:pt>
                <c:pt idx="2">
                  <c:v>3 Bibliothekarische Ausbildungsstufe</c:v>
                </c:pt>
                <c:pt idx="3">
                  <c:v>4 Publikumsfläche (Norm gemäss Richtlinien für GSB: 30 Quadratmeter pro 1000 Medien)</c:v>
                </c:pt>
                <c:pt idx="4">
                  <c:v>5 Publikumsarbeitsplätze</c:v>
                </c:pt>
                <c:pt idx="5">
                  <c:v>6 Internetanschlüsse für Publikum </c:v>
                </c:pt>
                <c:pt idx="6">
                  <c:v>7 Internetanschlüsse für Personal</c:v>
                </c:pt>
                <c:pt idx="7">
                  <c:v>8 Öffnungszeiten </c:v>
                </c:pt>
                <c:pt idx="8">
                  <c:v>9 Medienbestand (Norm: 1.5 Medien pro Einwohner / 12 Medien pro Schüler)</c:v>
                </c:pt>
                <c:pt idx="9">
                  <c:v>10 Bestandeserneuerung pro Jahr</c:v>
                </c:pt>
                <c:pt idx="10">
                  <c:v>11 Bestandesumsatz</c:v>
                </c:pt>
                <c:pt idx="11">
                  <c:v>12 Veranstaltungen (Lesungen, Bücherkaffee, Führungen, Veranstaltungen usw.)</c:v>
                </c:pt>
                <c:pt idx="12">
                  <c:v>13 Zusammenarbeit der Hier klicken+Typ auswählen! mit der Schule</c:v>
                </c:pt>
                <c:pt idx="13">
                  <c:v>14 Basisinformation über Gemeindewebsite</c:v>
                </c:pt>
                <c:pt idx="14">
                  <c:v>15 Katalog im Internet</c:v>
                </c:pt>
                <c:pt idx="15">
                  <c:v>16 Finanzen (laufende Kosten ohne spezielle Aufwendungen (Bsp. Aufstocken Medienbestand))</c:v>
                </c:pt>
              </c:strCache>
            </c:strRef>
          </c:cat>
          <c:val>
            <c:numRef>
              <c:f>HilfsblattDiagramm!$B$1:$B$16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HilfsblattDiagramm!$A$1:$A$16</c:f>
              <c:strCache>
                <c:ptCount val="16"/>
                <c:pt idx="0">
                  <c:v>1 Kundschaft (Norm: 20% der Bevölkerung)</c:v>
                </c:pt>
                <c:pt idx="1">
                  <c:v>2 Personal</c:v>
                </c:pt>
                <c:pt idx="2">
                  <c:v>3 Bibliothekarische Ausbildungsstufe</c:v>
                </c:pt>
                <c:pt idx="3">
                  <c:v>4 Publikumsfläche (Norm gemäss Richtlinien für GSB: 30 Quadratmeter pro 1000 Medien)</c:v>
                </c:pt>
                <c:pt idx="4">
                  <c:v>5 Publikumsarbeitsplätze</c:v>
                </c:pt>
                <c:pt idx="5">
                  <c:v>6 Internetanschlüsse für Publikum </c:v>
                </c:pt>
                <c:pt idx="6">
                  <c:v>7 Internetanschlüsse für Personal</c:v>
                </c:pt>
                <c:pt idx="7">
                  <c:v>8 Öffnungszeiten </c:v>
                </c:pt>
                <c:pt idx="8">
                  <c:v>9 Medienbestand (Norm: 1.5 Medien pro Einwohner / 12 Medien pro Schüler)</c:v>
                </c:pt>
                <c:pt idx="9">
                  <c:v>10 Bestandeserneuerung pro Jahr</c:v>
                </c:pt>
                <c:pt idx="10">
                  <c:v>11 Bestandesumsatz</c:v>
                </c:pt>
                <c:pt idx="11">
                  <c:v>12 Veranstaltungen (Lesungen, Bücherkaffee, Führungen, Veranstaltungen usw.)</c:v>
                </c:pt>
                <c:pt idx="12">
                  <c:v>13 Zusammenarbeit der Hier klicken+Typ auswählen! mit der Schule</c:v>
                </c:pt>
                <c:pt idx="13">
                  <c:v>14 Basisinformation über Gemeindewebsite</c:v>
                </c:pt>
                <c:pt idx="14">
                  <c:v>15 Katalog im Internet</c:v>
                </c:pt>
                <c:pt idx="15">
                  <c:v>16 Finanzen (laufende Kosten ohne spezielle Aufwendungen (Bsp. Aufstocken Medienbestand))</c:v>
                </c:pt>
              </c:strCache>
            </c:strRef>
          </c:cat>
          <c:val>
            <c:numRef>
              <c:f>HilfsblattDiagramm!$C$1:$C$16</c:f>
              <c:numCache>
                <c:formatCode>0.0</c:formatCode>
                <c:ptCount val="16"/>
                <c:pt idx="0">
                  <c:v>10.256410256410255</c:v>
                </c:pt>
                <c:pt idx="1">
                  <c:v>4.2735042735042734</c:v>
                </c:pt>
                <c:pt idx="2">
                  <c:v>5.1282051282051277</c:v>
                </c:pt>
                <c:pt idx="3">
                  <c:v>5.1282051282051277</c:v>
                </c:pt>
                <c:pt idx="4">
                  <c:v>5.1282051282051277</c:v>
                </c:pt>
                <c:pt idx="5">
                  <c:v>4.2735042735042734</c:v>
                </c:pt>
                <c:pt idx="6">
                  <c:v>4.2735042735042734</c:v>
                </c:pt>
                <c:pt idx="7">
                  <c:v>10.256410256410255</c:v>
                </c:pt>
                <c:pt idx="8">
                  <c:v>10.256410256410255</c:v>
                </c:pt>
                <c:pt idx="9">
                  <c:v>10.256410256410255</c:v>
                </c:pt>
                <c:pt idx="10">
                  <c:v>6.8376068376068382</c:v>
                </c:pt>
                <c:pt idx="11">
                  <c:v>3.4188034188034191</c:v>
                </c:pt>
                <c:pt idx="12">
                  <c:v>5.1282051282051277</c:v>
                </c:pt>
                <c:pt idx="13">
                  <c:v>1.7094017094017095</c:v>
                </c:pt>
                <c:pt idx="14">
                  <c:v>3.4188034188034191</c:v>
                </c:pt>
                <c:pt idx="15">
                  <c:v>10.256410256410255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268416"/>
        <c:axId val="198269952"/>
      </c:barChart>
      <c:catAx>
        <c:axId val="1982684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9826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2699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mögliche Punkte</a:t>
                </a:r>
              </a:p>
            </c:rich>
          </c:tx>
          <c:layout>
            <c:manualLayout>
              <c:xMode val="edge"/>
              <c:yMode val="edge"/>
              <c:x val="0.58818011257035652"/>
              <c:y val="0.968421052631578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9826841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5" workbookViewId="0"/>
  </sheetViews>
  <sheetProtection password="F79B" content="1" objects="1"/>
  <pageMargins left="0.19685039370078741" right="0.27559055118110237" top="0.59055118110236227" bottom="0.62992125984251968" header="0.51181102362204722" footer="0.35433070866141736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134600" cy="633412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0.36875</cdr:x>
      <cdr:y>0.00225</cdr:y>
    </cdr:from>
    <cdr:to>
      <cdr:x>0.49625</cdr:x>
      <cdr:y>0.02125</cdr:y>
    </cdr:to>
    <cdr:sp macro="" textlink="">
      <cdr:nvSpPr>
        <cdr:cNvPr id="33804" name="Rectangle 1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39082" y="14252"/>
          <a:ext cx="1286975" cy="121932"/>
        </a:xfrm>
        <a:prstGeom xmlns:a="http://schemas.openxmlformats.org/drawingml/2006/main" prst="rect">
          <a:avLst/>
        </a:prstGeom>
        <a:solidFill xmlns:a="http://schemas.openxmlformats.org/drawingml/2006/main">
          <a:srgbClr val="00FF00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de-CH" sz="800" b="0" i="0" strike="noStrike">
              <a:solidFill>
                <a:srgbClr val="000000"/>
              </a:solidFill>
              <a:latin typeface="Arial"/>
              <a:cs typeface="Arial"/>
            </a:rPr>
            <a:t>Potential erfüllt</a:t>
          </a:r>
        </a:p>
      </cdr:txBody>
    </cdr:sp>
  </cdr:relSizeAnchor>
  <cdr:relSizeAnchor xmlns:cdr="http://schemas.openxmlformats.org/drawingml/2006/chartDrawing">
    <cdr:from>
      <cdr:x>0.49575</cdr:x>
      <cdr:y>0.00225</cdr:y>
    </cdr:from>
    <cdr:to>
      <cdr:x>0.62325</cdr:x>
      <cdr:y>0.0215</cdr:y>
    </cdr:to>
    <cdr:sp macro="" textlink="">
      <cdr:nvSpPr>
        <cdr:cNvPr id="33805" name="Rectangle 1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33672" y="14252"/>
          <a:ext cx="1294590" cy="121932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de-CH" sz="800" b="0" i="0" strike="noStrike">
              <a:solidFill>
                <a:srgbClr val="FFFFFF"/>
              </a:solidFill>
              <a:latin typeface="Arial"/>
              <a:cs typeface="Arial"/>
            </a:rPr>
            <a:t>nicht erfüllt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outlinePr summaryBelow="0"/>
  </sheetPr>
  <dimension ref="A1:H147"/>
  <sheetViews>
    <sheetView tabSelected="1" zoomScaleNormal="100" workbookViewId="0">
      <selection activeCell="C13" sqref="C13"/>
    </sheetView>
  </sheetViews>
  <sheetFormatPr baseColWidth="10" defaultRowHeight="11.25" x14ac:dyDescent="0.2"/>
  <cols>
    <col min="1" max="1" width="4.42578125" style="134" customWidth="1"/>
    <col min="2" max="2" width="72.42578125" style="135" customWidth="1"/>
    <col min="3" max="3" width="27.42578125" style="136" customWidth="1"/>
    <col min="4" max="4" width="11" style="137" customWidth="1"/>
    <col min="5" max="5" width="9.140625" style="138" customWidth="1"/>
    <col min="6" max="6" width="0.42578125" style="139" customWidth="1"/>
    <col min="7" max="7" width="5.42578125" style="140" customWidth="1"/>
    <col min="8" max="16384" width="11.42578125" style="140"/>
  </cols>
  <sheetData>
    <row r="1" spans="1:6" ht="27.75" customHeight="1" x14ac:dyDescent="0.2">
      <c r="A1" s="165" t="s">
        <v>56</v>
      </c>
      <c r="B1" s="165"/>
      <c r="C1" s="156"/>
      <c r="D1" s="156"/>
      <c r="E1" s="156"/>
      <c r="F1" s="155"/>
    </row>
    <row r="2" spans="1:6" s="141" customFormat="1" ht="12.75" x14ac:dyDescent="0.2">
      <c r="A2" s="45"/>
      <c r="B2" s="46" t="s">
        <v>57</v>
      </c>
      <c r="C2" s="157"/>
      <c r="D2" s="158"/>
      <c r="E2" s="158"/>
      <c r="F2" s="155"/>
    </row>
    <row r="3" spans="1:6" s="141" customFormat="1" ht="12.75" x14ac:dyDescent="0.2">
      <c r="A3" s="45"/>
      <c r="B3" s="46" t="s">
        <v>62</v>
      </c>
      <c r="C3" s="157"/>
      <c r="D3" s="158"/>
      <c r="E3" s="158"/>
      <c r="F3" s="43"/>
    </row>
    <row r="4" spans="1:6" s="141" customFormat="1" ht="12.75" x14ac:dyDescent="0.2">
      <c r="A4" s="119"/>
      <c r="B4" s="50" t="s">
        <v>58</v>
      </c>
      <c r="C4" s="157"/>
      <c r="D4" s="158"/>
      <c r="E4" s="158"/>
      <c r="F4" s="155"/>
    </row>
    <row r="5" spans="1:6" s="141" customFormat="1" ht="12.75" x14ac:dyDescent="0.2">
      <c r="A5" s="119"/>
      <c r="B5" s="50" t="s">
        <v>59</v>
      </c>
      <c r="C5" s="157"/>
      <c r="D5" s="158"/>
      <c r="E5" s="158"/>
      <c r="F5" s="155"/>
    </row>
    <row r="6" spans="1:6" s="141" customFormat="1" ht="12.75" x14ac:dyDescent="0.2">
      <c r="A6" s="119"/>
      <c r="B6" s="50" t="s">
        <v>60</v>
      </c>
      <c r="C6" s="157"/>
      <c r="D6" s="158"/>
      <c r="E6" s="158"/>
      <c r="F6" s="155" t="s">
        <v>49</v>
      </c>
    </row>
    <row r="7" spans="1:6" s="141" customFormat="1" ht="12.75" x14ac:dyDescent="0.2">
      <c r="A7" s="119"/>
      <c r="B7" s="50" t="s">
        <v>61</v>
      </c>
      <c r="C7" s="157"/>
      <c r="D7" s="158"/>
      <c r="E7" s="158"/>
      <c r="F7" s="155"/>
    </row>
    <row r="8" spans="1:6" s="141" customFormat="1" ht="43.9" customHeight="1" x14ac:dyDescent="0.2">
      <c r="A8" s="119"/>
      <c r="B8" s="133" t="s">
        <v>137</v>
      </c>
      <c r="C8" s="159" t="s">
        <v>48</v>
      </c>
      <c r="D8" s="160"/>
      <c r="E8" s="113" t="s">
        <v>37</v>
      </c>
      <c r="F8" s="161"/>
    </row>
    <row r="9" spans="1:6" s="141" customFormat="1" ht="12.75" x14ac:dyDescent="0.2">
      <c r="A9" s="119"/>
      <c r="B9" s="44"/>
      <c r="C9" s="59"/>
      <c r="D9" s="81"/>
      <c r="E9" s="114"/>
      <c r="F9" s="43"/>
    </row>
    <row r="10" spans="1:6" s="141" customFormat="1" x14ac:dyDescent="0.2">
      <c r="A10" s="120">
        <v>0</v>
      </c>
      <c r="B10" s="23" t="s">
        <v>5</v>
      </c>
      <c r="C10" s="60"/>
      <c r="D10" s="82"/>
      <c r="E10" s="82"/>
      <c r="F10" s="25"/>
    </row>
    <row r="11" spans="1:6" s="141" customFormat="1" x14ac:dyDescent="0.2">
      <c r="A11" s="119">
        <v>0.1</v>
      </c>
      <c r="B11" s="24" t="s">
        <v>21</v>
      </c>
      <c r="C11" s="55"/>
      <c r="D11" s="82"/>
      <c r="E11" s="65"/>
      <c r="F11" s="25"/>
    </row>
    <row r="12" spans="1:6" s="141" customFormat="1" x14ac:dyDescent="0.2">
      <c r="A12" s="119">
        <v>0.2</v>
      </c>
      <c r="B12" s="24" t="s">
        <v>8</v>
      </c>
      <c r="C12" s="56" t="s">
        <v>165</v>
      </c>
      <c r="D12" s="82"/>
      <c r="E12" s="65"/>
      <c r="F12" s="25"/>
    </row>
    <row r="13" spans="1:6" s="141" customFormat="1" x14ac:dyDescent="0.2">
      <c r="A13" s="119">
        <v>0.3</v>
      </c>
      <c r="B13" s="24" t="s">
        <v>125</v>
      </c>
      <c r="C13" s="61"/>
      <c r="D13" s="82"/>
      <c r="E13" s="65"/>
      <c r="F13" s="25"/>
    </row>
    <row r="14" spans="1:6" s="141" customFormat="1" ht="21.6" customHeight="1" x14ac:dyDescent="0.2">
      <c r="A14" s="119" t="str">
        <f>IF(C12="Gemeinde-Schulbibliothek",0.4,"")</f>
        <v/>
      </c>
      <c r="B14" s="24" t="str">
        <f>IF($C$12="Gemeinde-Schulbibliothek","Anzahl Schüler","(Anzahl Schüler: Eintrag nur notwendig bei einer Gemeinde-Schulbibliothek. Bei einer Gemeindebibliothek bleibt das Feld leer.)")</f>
        <v>(Anzahl Schüler: Eintrag nur notwendig bei einer Gemeinde-Schulbibliothek. Bei einer Gemeindebibliothek bleibt das Feld leer.)</v>
      </c>
      <c r="C14" s="55"/>
      <c r="D14" s="82"/>
      <c r="E14" s="65"/>
      <c r="F14" s="25"/>
    </row>
    <row r="15" spans="1:6" s="141" customFormat="1" x14ac:dyDescent="0.2">
      <c r="A15" s="119"/>
      <c r="B15" s="24"/>
      <c r="C15" s="62"/>
      <c r="D15" s="82"/>
      <c r="E15" s="65"/>
      <c r="F15" s="25"/>
    </row>
    <row r="16" spans="1:6" s="141" customFormat="1" x14ac:dyDescent="0.2">
      <c r="A16" s="121">
        <v>1</v>
      </c>
      <c r="B16" s="23" t="str">
        <f>"Kundschaft (Norm: "&amp;NormVorgaben!C99*100&amp;"% der Bevölkerung)"</f>
        <v>Kundschaft (Norm: 20% der Bevölkerung)</v>
      </c>
      <c r="C16" s="62"/>
      <c r="D16" s="82">
        <f>Gewichtung!F2</f>
        <v>10.256410256410255</v>
      </c>
      <c r="E16" s="82">
        <f>VLOOKUP(C19,Gewichtung!A4:B15,2)*Eingaben!D16</f>
        <v>0</v>
      </c>
      <c r="F16" s="25">
        <f>D16-E16</f>
        <v>10.256410256410255</v>
      </c>
    </row>
    <row r="17" spans="1:8" s="141" customFormat="1" x14ac:dyDescent="0.2">
      <c r="A17" s="119">
        <v>1.1000000000000001</v>
      </c>
      <c r="B17" s="24" t="s">
        <v>3</v>
      </c>
      <c r="C17" s="62">
        <f>NormVorgaben!C99*Eingaben!C11</f>
        <v>0</v>
      </c>
      <c r="D17" s="65"/>
      <c r="E17" s="65"/>
      <c r="F17" s="25"/>
    </row>
    <row r="18" spans="1:8" s="141" customFormat="1" x14ac:dyDescent="0.2">
      <c r="A18" s="119">
        <v>1.2</v>
      </c>
      <c r="B18" s="24" t="s">
        <v>120</v>
      </c>
      <c r="C18" s="55"/>
      <c r="D18" s="65"/>
      <c r="E18" s="65"/>
      <c r="F18" s="25"/>
    </row>
    <row r="19" spans="1:8" s="141" customFormat="1" x14ac:dyDescent="0.2">
      <c r="A19" s="119">
        <v>1.3</v>
      </c>
      <c r="B19" s="24" t="s">
        <v>51</v>
      </c>
      <c r="C19" s="63">
        <f>IF(C17&gt;0,C18/C17,0)</f>
        <v>0</v>
      </c>
      <c r="D19" s="65"/>
      <c r="E19" s="65"/>
      <c r="F19" s="25"/>
    </row>
    <row r="20" spans="1:8" s="141" customFormat="1" x14ac:dyDescent="0.2">
      <c r="A20" s="119"/>
      <c r="B20" s="24"/>
      <c r="C20" s="62"/>
      <c r="D20" s="82"/>
      <c r="E20" s="65"/>
      <c r="F20" s="25"/>
    </row>
    <row r="21" spans="1:8" s="141" customFormat="1" x14ac:dyDescent="0.2">
      <c r="A21" s="121">
        <v>2</v>
      </c>
      <c r="B21" s="23" t="s">
        <v>88</v>
      </c>
      <c r="C21" s="64"/>
      <c r="D21" s="83">
        <f>Gewichtung!F501</f>
        <v>4.2735042735042734</v>
      </c>
      <c r="E21" s="83">
        <f>IF(C26&lt;&gt;"",(VLOOKUP(C24,Gewichtung!$A$503:$B$513,2)*Eingaben!D21*Gewichtung!B542)+(VLOOKUP(C25,Gewichtung!A518:B523,2)*Eingaben!D21*Gewichtung!B543)+(VLOOKUP(IF(C26&gt;1,(C23-C25)/(C26-1),1),Gewichtung!A529:B538,2)*Eingaben!D21*Gewichtung!B543),0)</f>
        <v>0</v>
      </c>
      <c r="F21" s="28">
        <f>D21-E21</f>
        <v>4.2735042735042734</v>
      </c>
    </row>
    <row r="22" spans="1:8" s="141" customFormat="1" ht="22.5" x14ac:dyDescent="0.2">
      <c r="A22" s="119">
        <v>2.1</v>
      </c>
      <c r="B22" s="24" t="str">
        <f>"Anzahl Vollzeitäquivalente (" &amp; NormVorgaben!C91 &amp; " Vollzeitäquivalente pro 1000 Medien): Sollwert bezogen auf tatsächlichen Bestand"</f>
        <v>Anzahl Vollzeitäquivalente (0.15 Vollzeitäquivalente pro 1000 Medien): Sollwert bezogen auf tatsächlichen Bestand</v>
      </c>
      <c r="C22" s="65">
        <f>ROUND(NormVorgaben!C91/1000*(C70+C71),1)</f>
        <v>0</v>
      </c>
      <c r="D22" s="82"/>
      <c r="E22" s="65"/>
      <c r="F22" s="28"/>
    </row>
    <row r="23" spans="1:8" s="141" customFormat="1" x14ac:dyDescent="0.2">
      <c r="A23" s="119">
        <v>2.2000000000000002</v>
      </c>
      <c r="B23" s="24" t="s">
        <v>36</v>
      </c>
      <c r="C23" s="66"/>
      <c r="D23" s="82"/>
      <c r="E23" s="65"/>
      <c r="F23" s="93"/>
    </row>
    <row r="24" spans="1:8" s="141" customFormat="1" x14ac:dyDescent="0.2">
      <c r="A24" s="119">
        <v>2.2999999999999998</v>
      </c>
      <c r="B24" s="24" t="s">
        <v>40</v>
      </c>
      <c r="C24" s="63">
        <f>IF(C22&gt;0,C23/C22,0)</f>
        <v>0</v>
      </c>
      <c r="D24" s="111"/>
      <c r="E24" s="65"/>
      <c r="F24" s="93"/>
    </row>
    <row r="25" spans="1:8" s="141" customFormat="1" ht="22.5" x14ac:dyDescent="0.2">
      <c r="A25" s="119">
        <v>2.4</v>
      </c>
      <c r="B25" s="24" t="str">
        <f>"Stellenprozent der Leitungsperson in % (optimal mindestens " &amp; NormVorgaben!C93 &amp; "% der tatsächlichen Vollzeitäquivalente, maximal 100 Stellenprozent)"</f>
        <v>Stellenprozent der Leitungsperson in % (optimal mindestens 50% der tatsächlichen Vollzeitäquivalente, maximal 100 Stellenprozent)</v>
      </c>
      <c r="C25" s="19"/>
      <c r="D25" s="112"/>
      <c r="E25" s="65"/>
      <c r="F25" s="93"/>
    </row>
    <row r="26" spans="1:8" s="141" customFormat="1" ht="20.45" customHeight="1" x14ac:dyDescent="0.2">
      <c r="A26" s="119">
        <v>2.5</v>
      </c>
      <c r="B26" s="24" t="str">
        <f>"Anzahl Mitarbeitende (Leiterin/Leiter mitgezählt; optimale Mindestpensen: " &amp; NormVorgaben!C95 &amp; " Stunden/Woche)"</f>
        <v>Anzahl Mitarbeitende (Leiterin/Leiter mitgezählt; optimale Mindestpensen: 10 Stunden/Woche)</v>
      </c>
      <c r="C26" s="67"/>
      <c r="D26" s="112"/>
      <c r="E26" s="28"/>
      <c r="F26" s="93"/>
    </row>
    <row r="27" spans="1:8" s="141" customFormat="1" x14ac:dyDescent="0.2">
      <c r="A27" s="119"/>
      <c r="B27" s="24"/>
      <c r="C27" s="54"/>
      <c r="D27" s="82"/>
      <c r="E27" s="65"/>
      <c r="F27" s="28"/>
    </row>
    <row r="28" spans="1:8" s="141" customFormat="1" x14ac:dyDescent="0.2">
      <c r="A28" s="121">
        <v>3</v>
      </c>
      <c r="B28" s="23" t="s">
        <v>63</v>
      </c>
      <c r="C28" s="64"/>
      <c r="D28" s="83">
        <f>Gewichtung!F451</f>
        <v>5.1282051282051277</v>
      </c>
      <c r="E28" s="83">
        <f>IF(C29&lt;&gt;"",IF(C26=1,VLOOKUP(C29,Gewichtung!A453:B458,2)*Gewichtung!B465*D28,VLOOKUP(C29,Gewichtung!A453:B458,2)*Gewichtung!B465*D28+(C30)/(C26-1)*Gewichtung!B466*D28),0)</f>
        <v>0</v>
      </c>
      <c r="F28" s="28">
        <f>D28-E28</f>
        <v>5.1282051282051277</v>
      </c>
      <c r="H28" s="142"/>
    </row>
    <row r="29" spans="1:8" s="141" customFormat="1" x14ac:dyDescent="0.2">
      <c r="A29" s="119">
        <v>3.1</v>
      </c>
      <c r="B29" s="24" t="s">
        <v>64</v>
      </c>
      <c r="C29" s="68"/>
      <c r="D29" s="84"/>
      <c r="E29" s="85"/>
      <c r="F29" s="28"/>
      <c r="H29" s="142"/>
    </row>
    <row r="30" spans="1:8" s="141" customFormat="1" x14ac:dyDescent="0.2">
      <c r="A30" s="119">
        <v>3.2</v>
      </c>
      <c r="B30" s="24" t="s">
        <v>97</v>
      </c>
      <c r="C30" s="67"/>
      <c r="D30" s="84"/>
      <c r="E30" s="85"/>
      <c r="F30" s="28"/>
      <c r="H30" s="142"/>
    </row>
    <row r="31" spans="1:8" s="141" customFormat="1" x14ac:dyDescent="0.2">
      <c r="A31" s="119">
        <v>3.3</v>
      </c>
      <c r="B31" s="24" t="s">
        <v>98</v>
      </c>
      <c r="C31" s="53" t="str">
        <f>IF(C26&lt;&gt;"",C26-C30-1,"")</f>
        <v/>
      </c>
      <c r="D31" s="84"/>
      <c r="E31" s="85"/>
      <c r="F31" s="28"/>
      <c r="H31" s="142"/>
    </row>
    <row r="32" spans="1:8" s="141" customFormat="1" x14ac:dyDescent="0.2">
      <c r="A32" s="119"/>
      <c r="B32" s="24"/>
      <c r="C32" s="54"/>
      <c r="D32" s="82"/>
      <c r="E32" s="65"/>
      <c r="F32" s="28"/>
      <c r="H32" s="142"/>
    </row>
    <row r="33" spans="1:8" s="141" customFormat="1" ht="21" customHeight="1" x14ac:dyDescent="0.2">
      <c r="A33" s="122">
        <v>4</v>
      </c>
      <c r="B33" s="26" t="str">
        <f>IF(C12="Gemeindebibliothek","Publikumsfläche (Norm gemäss Richtlinien für GB: " &amp; VLOOKUP(C69,NormVorgaben!C5:D11,2,TRUE) &amp; " Quadratmeter pro 1000 Medien)",
              "Publikumsfläche (Norm gemäss Richtlinien für GSB: "&amp;NormVorgaben!C13&amp; " Quadratmeter pro 1000 Medien)")</f>
        <v>Publikumsfläche (Norm gemäss Richtlinien für GSB: 30 Quadratmeter pro 1000 Medien)</v>
      </c>
      <c r="C33" s="64"/>
      <c r="D33" s="83">
        <f>Gewichtung!F51</f>
        <v>5.1282051282051277</v>
      </c>
      <c r="E33" s="83">
        <f>VLOOKUP(C37,Gewichtung!A53:B73,2,TRUE)*D33</f>
        <v>0</v>
      </c>
      <c r="F33" s="28">
        <f>D33-E33</f>
        <v>5.1282051282051277</v>
      </c>
      <c r="H33" s="142"/>
    </row>
    <row r="34" spans="1:8" s="141" customFormat="1" x14ac:dyDescent="0.2">
      <c r="A34" s="119">
        <v>4.0999999999999996</v>
      </c>
      <c r="B34" s="29">
        <f>C69</f>
        <v>0</v>
      </c>
      <c r="C34" s="69">
        <f>IF(C12="Gemeindebibliothek",ROUND(B34/1000*VLOOKUP(B34,NormVorgaben!C5:D11,2,TRUE),0),ROUND(B34/1000*NormVorgaben!C13,0))</f>
        <v>0</v>
      </c>
      <c r="D34" s="83"/>
      <c r="E34" s="83"/>
      <c r="F34" s="25"/>
      <c r="H34" s="142"/>
    </row>
    <row r="35" spans="1:8" s="141" customFormat="1" x14ac:dyDescent="0.2">
      <c r="A35" s="119">
        <v>4.2</v>
      </c>
      <c r="B35" s="30">
        <f>C70+C71</f>
        <v>0</v>
      </c>
      <c r="C35" s="70">
        <f>IF(C12="Gemeindebibliothek",ROUND(B35/1000*VLOOKUP(B35,NormVorgaben!C5:D11,2,TRUE),0),ROUND(B35/1000*NormVorgaben!C13,0))</f>
        <v>0</v>
      </c>
      <c r="D35" s="83"/>
      <c r="E35" s="83"/>
      <c r="F35" s="25"/>
      <c r="G35" s="143"/>
    </row>
    <row r="36" spans="1:8" s="141" customFormat="1" x14ac:dyDescent="0.2">
      <c r="A36" s="119">
        <v>4.3</v>
      </c>
      <c r="B36" s="24" t="s">
        <v>126</v>
      </c>
      <c r="C36" s="71"/>
      <c r="D36" s="82"/>
      <c r="E36" s="65"/>
      <c r="F36" s="28"/>
      <c r="H36" s="143"/>
    </row>
    <row r="37" spans="1:8" s="141" customFormat="1" x14ac:dyDescent="0.2">
      <c r="A37" s="119">
        <v>4.4000000000000004</v>
      </c>
      <c r="B37" s="24" t="s">
        <v>2</v>
      </c>
      <c r="C37" s="63">
        <f>IF(C35&lt;&gt;0,C36/C35,0)</f>
        <v>0</v>
      </c>
      <c r="D37" s="82"/>
      <c r="E37" s="65"/>
      <c r="F37" s="28"/>
      <c r="H37" s="143"/>
    </row>
    <row r="38" spans="1:8" s="141" customFormat="1" x14ac:dyDescent="0.2">
      <c r="A38" s="119"/>
      <c r="B38" s="24"/>
      <c r="C38" s="54"/>
      <c r="D38" s="82"/>
      <c r="E38" s="65"/>
      <c r="F38" s="28"/>
    </row>
    <row r="39" spans="1:8" s="141" customFormat="1" x14ac:dyDescent="0.2">
      <c r="A39" s="122">
        <v>5</v>
      </c>
      <c r="B39" s="23" t="s">
        <v>44</v>
      </c>
      <c r="C39" s="64"/>
      <c r="D39" s="83">
        <f>Gewichtung!F201</f>
        <v>5.1282051282051277</v>
      </c>
      <c r="E39" s="83">
        <f>VLOOKUP(C43,Gewichtung!A203:B223,2,TRUE)*D39</f>
        <v>0</v>
      </c>
      <c r="F39" s="28">
        <f>D39-E39</f>
        <v>5.1282051282051277</v>
      </c>
    </row>
    <row r="40" spans="1:8" s="141" customFormat="1" ht="20.45" customHeight="1" x14ac:dyDescent="0.2">
      <c r="A40" s="119">
        <v>5.0999999999999996</v>
      </c>
      <c r="B40" s="32" t="str">
        <f>IF(C12="Gemeindebibliothek","Sollwert Anzahl Publikumsarbeitsplätze ("&amp;NormVorgaben!C27 *1000 &amp;" pro 1000 vorhandener Medien)","Sollwert Anzahl Publikumsarbeitsplätze (feste Anzahl bei Gemeinde-Schulbibliothek; alle mit Arbeitsflächen)")</f>
        <v>Sollwert Anzahl Publikumsarbeitsplätze (feste Anzahl bei Gemeinde-Schulbibliothek; alle mit Arbeitsflächen)</v>
      </c>
      <c r="C40" s="72">
        <f>ROUND(IF(C12="Gemeindebibliothek",(C70+C71)*NormVorgaben!C27,NormVorgaben!C28),0)</f>
        <v>24</v>
      </c>
      <c r="D40" s="83"/>
      <c r="E40" s="65"/>
      <c r="F40" s="28"/>
    </row>
    <row r="41" spans="1:8" s="141" customFormat="1" x14ac:dyDescent="0.2">
      <c r="A41" s="119">
        <v>5.2</v>
      </c>
      <c r="B41" s="33" t="s">
        <v>138</v>
      </c>
      <c r="C41" s="55"/>
      <c r="D41" s="85"/>
      <c r="E41" s="65"/>
      <c r="F41" s="28"/>
    </row>
    <row r="42" spans="1:8" s="141" customFormat="1" x14ac:dyDescent="0.2">
      <c r="A42" s="119">
        <v>5.3</v>
      </c>
      <c r="B42" s="33" t="s">
        <v>139</v>
      </c>
      <c r="C42" s="55"/>
      <c r="D42" s="85"/>
      <c r="E42" s="65"/>
      <c r="F42" s="28"/>
    </row>
    <row r="43" spans="1:8" s="141" customFormat="1" x14ac:dyDescent="0.2">
      <c r="A43" s="119">
        <v>5.4</v>
      </c>
      <c r="B43" s="22" t="s">
        <v>17</v>
      </c>
      <c r="C43" s="63">
        <f>IF(C40&gt;0,IF(C12="Gemeinde-Schulbibliothek",((C41*Gewichtung!B227)+(C42*Gewichtung!B228))/C40,(C41+C42)/C40),0)</f>
        <v>0</v>
      </c>
      <c r="D43" s="82"/>
      <c r="E43" s="65"/>
      <c r="F43" s="28"/>
    </row>
    <row r="44" spans="1:8" s="141" customFormat="1" x14ac:dyDescent="0.2">
      <c r="A44" s="119"/>
      <c r="B44" s="24"/>
      <c r="C44" s="54"/>
      <c r="D44" s="82"/>
      <c r="E44" s="65"/>
      <c r="F44" s="28"/>
    </row>
    <row r="45" spans="1:8" s="141" customFormat="1" x14ac:dyDescent="0.2">
      <c r="A45" s="121">
        <v>6</v>
      </c>
      <c r="B45" s="23" t="s">
        <v>47</v>
      </c>
      <c r="C45" s="64"/>
      <c r="D45" s="83">
        <f>Gewichtung!F401</f>
        <v>4.2735042735042734</v>
      </c>
      <c r="E45" s="83">
        <f>VLOOKUP(C48,Gewichtung!$A$403:$B$413,2,TRUE)*D45</f>
        <v>0</v>
      </c>
      <c r="F45" s="28">
        <f>D45-E45</f>
        <v>4.2735042735042734</v>
      </c>
    </row>
    <row r="46" spans="1:8" s="141" customFormat="1" ht="22.5" x14ac:dyDescent="0.2">
      <c r="A46" s="119">
        <v>6.1</v>
      </c>
      <c r="B46" s="36" t="str">
        <f>"Anzahl Publikums-Computer mit Internetanschluss (Norm: 1 pro " &amp; NormVorgaben!C85 &amp; " Einwohner, mindestens 1 pro Bibliothek)"</f>
        <v>Anzahl Publikums-Computer mit Internetanschluss (Norm: 1 pro 3000 Einwohner, mindestens 1 pro Bibliothek)</v>
      </c>
      <c r="C46" s="64">
        <f>INT(IF(C11&lt;NormVorgaben!C85,1,(C11-NormVorgaben!C85/2)/NormVorgaben!C85+1))</f>
        <v>1</v>
      </c>
      <c r="D46" s="83"/>
      <c r="E46" s="65"/>
      <c r="F46" s="28"/>
    </row>
    <row r="47" spans="1:8" s="141" customFormat="1" x14ac:dyDescent="0.2">
      <c r="A47" s="119">
        <v>6.2</v>
      </c>
      <c r="B47" s="24" t="s">
        <v>166</v>
      </c>
      <c r="C47" s="55"/>
      <c r="D47" s="82"/>
      <c r="E47" s="65"/>
      <c r="F47" s="28"/>
    </row>
    <row r="48" spans="1:8" s="141" customFormat="1" x14ac:dyDescent="0.2">
      <c r="A48" s="119">
        <v>6.3</v>
      </c>
      <c r="B48" s="24" t="s">
        <v>167</v>
      </c>
      <c r="C48" s="63">
        <f>C47/C46</f>
        <v>0</v>
      </c>
      <c r="D48" s="84"/>
      <c r="E48" s="85"/>
      <c r="F48" s="28"/>
    </row>
    <row r="49" spans="1:8" s="141" customFormat="1" x14ac:dyDescent="0.2">
      <c r="A49" s="119"/>
      <c r="B49" s="24"/>
      <c r="C49" s="54"/>
      <c r="D49" s="82"/>
      <c r="E49" s="65"/>
      <c r="F49" s="28"/>
    </row>
    <row r="50" spans="1:8" s="141" customFormat="1" x14ac:dyDescent="0.2">
      <c r="A50" s="121">
        <v>7</v>
      </c>
      <c r="B50" s="23" t="s">
        <v>46</v>
      </c>
      <c r="C50" s="64"/>
      <c r="D50" s="83">
        <f>Gewichtung!F351</f>
        <v>4.2735042735042734</v>
      </c>
      <c r="E50" s="83">
        <f>VLOOKUP(C53,Gewichtung!$A$353:$B$363,2,TRUE)*D50</f>
        <v>0</v>
      </c>
      <c r="F50" s="28">
        <f>D50-E50</f>
        <v>4.2735042735042734</v>
      </c>
    </row>
    <row r="51" spans="1:8" s="141" customFormat="1" x14ac:dyDescent="0.2">
      <c r="A51" s="119">
        <v>7.1</v>
      </c>
      <c r="B51" s="24" t="s">
        <v>140</v>
      </c>
      <c r="C51" s="57"/>
      <c r="D51" s="83"/>
      <c r="E51" s="83"/>
      <c r="F51" s="28"/>
    </row>
    <row r="52" spans="1:8" s="141" customFormat="1" ht="21" customHeight="1" x14ac:dyDescent="0.2">
      <c r="A52" s="119">
        <v>7.2</v>
      </c>
      <c r="B52" s="24" t="s">
        <v>39</v>
      </c>
      <c r="C52" s="57"/>
      <c r="D52" s="82"/>
      <c r="E52" s="65"/>
      <c r="F52" s="28"/>
    </row>
    <row r="53" spans="1:8" s="141" customFormat="1" x14ac:dyDescent="0.2">
      <c r="A53" s="119">
        <v>7.3</v>
      </c>
      <c r="B53" s="24" t="s">
        <v>27</v>
      </c>
      <c r="C53" s="63">
        <f>IF(C51&gt;0,C52/C51,0%)</f>
        <v>0</v>
      </c>
      <c r="D53" s="82"/>
      <c r="E53" s="65"/>
      <c r="F53" s="28"/>
    </row>
    <row r="54" spans="1:8" s="141" customFormat="1" x14ac:dyDescent="0.2">
      <c r="A54" s="119"/>
      <c r="B54" s="24"/>
      <c r="C54" s="54"/>
      <c r="D54" s="82"/>
      <c r="E54" s="65"/>
      <c r="F54" s="28"/>
    </row>
    <row r="55" spans="1:8" s="141" customFormat="1" x14ac:dyDescent="0.2">
      <c r="A55" s="121">
        <v>8</v>
      </c>
      <c r="B55" s="23" t="s">
        <v>45</v>
      </c>
      <c r="C55" s="64"/>
      <c r="D55" s="83">
        <f>Gewichtung!F301</f>
        <v>10.256410256410255</v>
      </c>
      <c r="E55" s="83">
        <f>IF(OR(C12="Hier klicken+Typ auswählen!",C12=""),0,IF(C12="Gemeindebibliothek",VLOOKUP(C58,Gewichtung!A303:B323,2)*Gewichtung!B338*D55+VLOOKUP(C61,Gewichtung!A303:B323,2)*Gewichtung!B339*D55+VLOOKUP(C63,Gewichtung!A303:B323,2)*Gewichtung!B340*D55,VLOOKUP(C58,Gewichtung!A303:B323,2)*Gewichtung!C338*D55+VLOOKUP(C61,Gewichtung!A303:B323,2)*Gewichtung!C339*D55+VLOOKUP(C63,Gewichtung!A303:B323,2)*Gewichtung!C340*D55+VLOOKUP(C66,Gewichtung!A303:B323,2)*Gewichtung!C341*D55))</f>
        <v>0</v>
      </c>
      <c r="F55" s="28">
        <f>D55-E55</f>
        <v>10.256410256410255</v>
      </c>
    </row>
    <row r="56" spans="1:8" s="141" customFormat="1" x14ac:dyDescent="0.2">
      <c r="A56" s="119">
        <v>8.1</v>
      </c>
      <c r="B56" s="24" t="s">
        <v>9</v>
      </c>
      <c r="C56" s="64">
        <f>VLOOKUP($C$11,NormVorgaben!$B$45:$D$66,2)</f>
        <v>10</v>
      </c>
      <c r="D56" s="83"/>
      <c r="E56" s="65"/>
      <c r="F56" s="28"/>
      <c r="H56" s="142"/>
    </row>
    <row r="57" spans="1:8" s="141" customFormat="1" x14ac:dyDescent="0.2">
      <c r="A57" s="119">
        <v>8.1999999999999993</v>
      </c>
      <c r="B57" s="24" t="s">
        <v>41</v>
      </c>
      <c r="C57" s="66"/>
      <c r="D57" s="83"/>
      <c r="E57" s="65"/>
      <c r="F57" s="28"/>
    </row>
    <row r="58" spans="1:8" s="141" customFormat="1" x14ac:dyDescent="0.2">
      <c r="A58" s="119">
        <v>8.3000000000000007</v>
      </c>
      <c r="B58" s="24" t="s">
        <v>19</v>
      </c>
      <c r="C58" s="63">
        <f>C57/C56</f>
        <v>0</v>
      </c>
      <c r="D58" s="83"/>
      <c r="E58" s="65"/>
      <c r="F58" s="28"/>
    </row>
    <row r="59" spans="1:8" s="141" customFormat="1" x14ac:dyDescent="0.2">
      <c r="A59" s="119">
        <v>8.4</v>
      </c>
      <c r="B59" s="24" t="s">
        <v>14</v>
      </c>
      <c r="C59" s="64">
        <f>VLOOKUP($C$11,NormVorgaben!$B$45:$D$66,3)</f>
        <v>4</v>
      </c>
      <c r="D59" s="83"/>
      <c r="E59" s="65"/>
      <c r="F59" s="28"/>
    </row>
    <row r="60" spans="1:8" s="141" customFormat="1" x14ac:dyDescent="0.2">
      <c r="A60" s="119">
        <v>8.5</v>
      </c>
      <c r="B60" s="24" t="s">
        <v>15</v>
      </c>
      <c r="C60" s="57"/>
      <c r="D60" s="83"/>
      <c r="E60" s="65"/>
      <c r="F60" s="28"/>
    </row>
    <row r="61" spans="1:8" s="141" customFormat="1" x14ac:dyDescent="0.2">
      <c r="A61" s="119">
        <v>8.6</v>
      </c>
      <c r="B61" s="24" t="s">
        <v>20</v>
      </c>
      <c r="C61" s="63">
        <f>C60/C59</f>
        <v>0</v>
      </c>
      <c r="D61" s="83"/>
      <c r="E61" s="65"/>
      <c r="F61" s="28"/>
    </row>
    <row r="62" spans="1:8" s="141" customFormat="1" x14ac:dyDescent="0.2">
      <c r="A62" s="119">
        <v>8.6999999999999993</v>
      </c>
      <c r="B62" s="24" t="s">
        <v>10</v>
      </c>
      <c r="C62" s="56"/>
      <c r="D62" s="83"/>
      <c r="E62" s="65"/>
      <c r="F62" s="28"/>
    </row>
    <row r="63" spans="1:8" s="141" customFormat="1" ht="20.45" customHeight="1" x14ac:dyDescent="0.2">
      <c r="A63" s="119">
        <v>8.8000000000000007</v>
      </c>
      <c r="B63" s="24" t="s">
        <v>108</v>
      </c>
      <c r="C63" s="74">
        <f>IF(C62="ja",VLOOKUP(C61,Gewichtung!A329:C335,2),VLOOKUP(C61,Gewichtung!A329:C335,3))</f>
        <v>0</v>
      </c>
      <c r="D63" s="83"/>
      <c r="E63" s="65"/>
      <c r="F63" s="28"/>
    </row>
    <row r="64" spans="1:8" s="141" customFormat="1" ht="20.45" customHeight="1" x14ac:dyDescent="0.2">
      <c r="A64" s="119" t="str">
        <f>IF(C12="Gemeinde-Schulbibliothek","8.9","")</f>
        <v/>
      </c>
      <c r="B64" s="47" t="str">
        <f>IF(C12="Gemeinde-Schulbibliothek","Sollwert Anzahl jährliche Stunden für die separate Betreuung der Klassen durch das Bibliothekspersonal (" &amp; NormVorgaben!C78 &amp; "  Stunden pro Klasse pro Jahr)","")</f>
        <v/>
      </c>
      <c r="C64" s="98" t="str">
        <f>IF(C12="Gemeinde-Schulbibliothek",C13*NormVorgaben!C78,"")</f>
        <v/>
      </c>
      <c r="D64" s="83"/>
      <c r="E64" s="65"/>
      <c r="F64" s="28"/>
    </row>
    <row r="65" spans="1:6" s="141" customFormat="1" ht="20.45" customHeight="1" x14ac:dyDescent="0.2">
      <c r="A65" s="65" t="str">
        <f>IF(C12="Gemeinde-Schulbibliothek","8.10","")</f>
        <v/>
      </c>
      <c r="B65" s="24" t="str">
        <f>IF(C12="Gemeinde-Schulbibliothek","Tatsächliche jährliche Stunden für die separate Betreuung der Klassen durch das Bibliothekspersonal","(Betreuung der Klassen: Eintrag nur notwendig für eine Gemeinde-Schulbibliothek. Für eine Gemeindebibliothek bleibt das Feld leer.)")</f>
        <v>(Betreuung der Klassen: Eintrag nur notwendig für eine Gemeinde-Schulbibliothek. Für eine Gemeindebibliothek bleibt das Feld leer.)</v>
      </c>
      <c r="C65" s="67"/>
      <c r="D65" s="83"/>
      <c r="E65" s="65"/>
      <c r="F65" s="28"/>
    </row>
    <row r="66" spans="1:6" s="141" customFormat="1" x14ac:dyDescent="0.2">
      <c r="A66" s="92" t="str">
        <f>IF(C12="Gemeinde-Schulbibliothek","8.11","")</f>
        <v/>
      </c>
      <c r="B66" s="24" t="str">
        <f>IF(C12="Gemeinde-Schulbibliothek","Jährliche Stunden für die separate Betreuung der Klassen durch das Bibliothekspersonal in Prozent des Sollwertes","")</f>
        <v/>
      </c>
      <c r="C66" s="73" t="str">
        <f>IF(C12="Gemeinde-Schulbibliothek",IF(C13&gt;0,C65/(C13*NormVorgaben!C78),0),"")</f>
        <v/>
      </c>
      <c r="D66" s="83"/>
      <c r="E66" s="65"/>
      <c r="F66" s="28"/>
    </row>
    <row r="67" spans="1:6" s="141" customFormat="1" x14ac:dyDescent="0.2">
      <c r="A67" s="92"/>
      <c r="B67" s="24"/>
      <c r="C67" s="73"/>
      <c r="D67" s="83"/>
      <c r="E67" s="65"/>
      <c r="F67" s="28"/>
    </row>
    <row r="68" spans="1:6" x14ac:dyDescent="0.2">
      <c r="A68" s="122">
        <v>9</v>
      </c>
      <c r="B68" s="26" t="str">
        <f>IF(C12="Gemeindebibliothek","Medienbestand (Norm: " &amp; NormVorgaben!C1 &amp; " Medien pro Einwohner)","Medienbestand (Norm: " &amp; NormVorgaben!C1 &amp; " Medien pro Einwohner / " &amp; NormVorgaben!C2 &amp; " Medien pro Schüler)")</f>
        <v>Medienbestand (Norm: 1.5 Medien pro Einwohner / 12 Medien pro Schüler)</v>
      </c>
      <c r="C68" s="64"/>
      <c r="D68" s="83">
        <f>Gewichtung!F25</f>
        <v>10.256410256410255</v>
      </c>
      <c r="E68" s="83">
        <f>VLOOKUP(C72,Gewichtung!A27:B47,2,TRUE)*D68</f>
        <v>0</v>
      </c>
      <c r="F68" s="28">
        <f>D68-E68</f>
        <v>10.256410256410255</v>
      </c>
    </row>
    <row r="69" spans="1:6" x14ac:dyDescent="0.2">
      <c r="A69" s="119">
        <v>9.1</v>
      </c>
      <c r="B69" s="24" t="str">
        <f>IF(C12="Gemeinde-Schulbibliothek","Sollbestand für Gemeinde-Schulbibliothek","Sollbestand für Gemeindebibliothek")</f>
        <v>Sollbestand für Gemeindebibliothek</v>
      </c>
      <c r="C69" s="72">
        <f>IF(C12="Gemeinde-Schulbibliothek",C11*NormVorgaben!C1+Eingaben!C14*NormVorgaben!C2,Eingaben!C11*NormVorgaben!C1)</f>
        <v>0</v>
      </c>
      <c r="D69" s="82"/>
      <c r="E69" s="65"/>
      <c r="F69" s="28"/>
    </row>
    <row r="70" spans="1:6" x14ac:dyDescent="0.2">
      <c r="A70" s="119">
        <v>9.1999999999999993</v>
      </c>
      <c r="B70" s="24" t="s">
        <v>4</v>
      </c>
      <c r="C70" s="55"/>
      <c r="D70" s="82"/>
      <c r="E70" s="65"/>
      <c r="F70" s="28"/>
    </row>
    <row r="71" spans="1:6" x14ac:dyDescent="0.2">
      <c r="A71" s="119">
        <v>9.3000000000000007</v>
      </c>
      <c r="B71" s="24" t="s">
        <v>118</v>
      </c>
      <c r="C71" s="55"/>
      <c r="D71" s="82"/>
      <c r="E71" s="65"/>
      <c r="F71" s="28"/>
    </row>
    <row r="72" spans="1:6" ht="20.45" customHeight="1" x14ac:dyDescent="0.2">
      <c r="A72" s="119">
        <v>9.4</v>
      </c>
      <c r="B72" s="24" t="str">
        <f>"Gesamtbestand (Printmedien, Zeitschriftenabonnemente und Nonbooks: " &amp; IF(AND(C70&lt;&gt;"",C71&lt;&gt;""),C70+C71,"")  &amp; ") in Prozent des Sollbestands"</f>
        <v>Gesamtbestand (Printmedien, Zeitschriftenabonnemente und Nonbooks: ) in Prozent des Sollbestands</v>
      </c>
      <c r="C72" s="63">
        <f>IF(AND(OR(C70&lt;&gt;"",C71&lt;&gt;""),C69&lt;&gt;0),(C70+C71)/C69,0)</f>
        <v>0</v>
      </c>
      <c r="D72" s="84"/>
      <c r="E72" s="85"/>
      <c r="F72" s="28"/>
    </row>
    <row r="73" spans="1:6" x14ac:dyDescent="0.2">
      <c r="A73" s="119"/>
      <c r="B73" s="24"/>
      <c r="C73" s="75"/>
      <c r="D73" s="84"/>
      <c r="E73" s="85"/>
      <c r="F73" s="28"/>
    </row>
    <row r="74" spans="1:6" ht="10.15" customHeight="1" x14ac:dyDescent="0.2">
      <c r="A74" s="122">
        <v>10</v>
      </c>
      <c r="B74" s="26" t="s">
        <v>151</v>
      </c>
      <c r="C74" s="76"/>
      <c r="D74" s="83">
        <f>Gewichtung!F101</f>
        <v>10.256410256410255</v>
      </c>
      <c r="E74" s="83">
        <f>VLOOKUP(D77+D80,Gewichtung!A103:B113,2,TRUE)*D74</f>
        <v>0</v>
      </c>
      <c r="F74" s="85">
        <f>D74-E74</f>
        <v>10.256410256410255</v>
      </c>
    </row>
    <row r="75" spans="1:6" ht="21" customHeight="1" x14ac:dyDescent="0.2">
      <c r="A75" s="119">
        <v>10.1</v>
      </c>
      <c r="B75" s="31" t="str">
        <f>"Soll-Neuerwerbungen Printmedien und Zeitschriftenabonnemente basierend auf tatsächlichem Bestand (Norm: "&amp; NormVorgaben!C18*100 &amp; "%)"</f>
        <v>Soll-Neuerwerbungen Printmedien und Zeitschriftenabonnemente basierend auf tatsächlichem Bestand (Norm: 10%)</v>
      </c>
      <c r="C75" s="58">
        <f>NormVorgaben!C18*C70</f>
        <v>0</v>
      </c>
      <c r="D75" s="83"/>
      <c r="E75" s="83"/>
      <c r="F75" s="28"/>
    </row>
    <row r="76" spans="1:6" x14ac:dyDescent="0.2">
      <c r="A76" s="119">
        <v>10.199999999999999</v>
      </c>
      <c r="B76" s="24" t="s">
        <v>35</v>
      </c>
      <c r="C76" s="55"/>
      <c r="D76" s="151" t="s">
        <v>159</v>
      </c>
      <c r="E76" s="65"/>
      <c r="F76" s="28"/>
    </row>
    <row r="77" spans="1:6" ht="20.45" customHeight="1" x14ac:dyDescent="0.2">
      <c r="A77" s="119">
        <v>10.3</v>
      </c>
      <c r="B77" s="24" t="s">
        <v>161</v>
      </c>
      <c r="C77" s="63">
        <f>IF(C75&gt;0,C76/C75,0)</f>
        <v>0</v>
      </c>
      <c r="D77" s="152">
        <f>ABS(C77-100%)</f>
        <v>1</v>
      </c>
      <c r="E77" s="65"/>
      <c r="F77" s="28"/>
    </row>
    <row r="78" spans="1:6" x14ac:dyDescent="0.2">
      <c r="A78" s="119">
        <v>10.4</v>
      </c>
      <c r="B78" s="31" t="str">
        <f>"Soll-Neuerwerbungen Nonbooks basierend auf tatsächlichem Bestand (Norm: "&amp;NormVorgaben!C19*100&amp;" %)"</f>
        <v>Soll-Neuerwerbungen Nonbooks basierend auf tatsächlichem Bestand (Norm: 20 %)</v>
      </c>
      <c r="C78" s="62">
        <f>NormVorgaben!C19*C71</f>
        <v>0</v>
      </c>
      <c r="D78" s="153"/>
      <c r="E78" s="65"/>
      <c r="F78" s="28"/>
    </row>
    <row r="79" spans="1:6" x14ac:dyDescent="0.2">
      <c r="A79" s="119">
        <v>10.5</v>
      </c>
      <c r="B79" s="24" t="s">
        <v>119</v>
      </c>
      <c r="C79" s="55"/>
      <c r="D79" s="153"/>
      <c r="E79" s="65"/>
      <c r="F79" s="28"/>
    </row>
    <row r="80" spans="1:6" x14ac:dyDescent="0.2">
      <c r="A80" s="119">
        <v>10.6</v>
      </c>
      <c r="B80" s="24" t="s">
        <v>162</v>
      </c>
      <c r="C80" s="63">
        <f>IF(C78&gt;0,C79/C78,0)</f>
        <v>0</v>
      </c>
      <c r="D80" s="152">
        <f>ABS(C80-100%)</f>
        <v>1</v>
      </c>
      <c r="E80" s="65"/>
      <c r="F80" s="28"/>
    </row>
    <row r="81" spans="1:8" x14ac:dyDescent="0.2">
      <c r="A81" s="119"/>
      <c r="B81" s="24"/>
      <c r="C81" s="64"/>
      <c r="D81" s="82"/>
      <c r="E81" s="65"/>
      <c r="F81" s="28"/>
    </row>
    <row r="82" spans="1:8" x14ac:dyDescent="0.2">
      <c r="A82" s="122">
        <v>11</v>
      </c>
      <c r="B82" s="26" t="s">
        <v>156</v>
      </c>
      <c r="C82" s="64"/>
      <c r="D82" s="83">
        <f>Gewichtung!F151</f>
        <v>6.8376068376068382</v>
      </c>
      <c r="E82" s="83">
        <f>VLOOKUP(D85+D88,Gewichtung!A153:B163,2,TRUE)*D82</f>
        <v>0</v>
      </c>
      <c r="F82" s="28">
        <f>D82-E82</f>
        <v>6.8376068376068382</v>
      </c>
    </row>
    <row r="83" spans="1:8" ht="20.45" customHeight="1" x14ac:dyDescent="0.2">
      <c r="A83" s="119">
        <v>11.1</v>
      </c>
      <c r="B83" s="35" t="str">
        <f>"Sollwert der Anzahl Ausleihen (Printmedien und Zeitschriftenabonnemente, mindestens " &amp; NormVorgaben!C22 &amp; " mal tatsächlicher Bestand)"</f>
        <v>Sollwert der Anzahl Ausleihen (Printmedien und Zeitschriftenabonnemente, mindestens 3 mal tatsächlicher Bestand)</v>
      </c>
      <c r="C83" s="72">
        <f>NormVorgaben!C22*(C70)</f>
        <v>0</v>
      </c>
      <c r="D83" s="82"/>
      <c r="E83" s="65"/>
      <c r="F83" s="28"/>
    </row>
    <row r="84" spans="1:8" ht="20.45" customHeight="1" x14ac:dyDescent="0.2">
      <c r="A84" s="119">
        <v>11.2</v>
      </c>
      <c r="B84" s="24" t="str">
        <f>"Tatsächliche Anzahl Ausleihen Printmedien und Zeitschriftenabonnemente (optimal: "&amp;NormVorgaben!C22&amp;" - "&amp;NormVorgaben!C23&amp;" mal des tatsächlichen Bestandes, d.h. zwischen " &amp; C83 &amp; " und " &amp; ROUND(C83/NormVorgaben!C22*NormVorgaben!C23,0) &amp; ")"</f>
        <v>Tatsächliche Anzahl Ausleihen Printmedien und Zeitschriftenabonnemente (optimal: 3 - 5.9 mal des tatsächlichen Bestandes, d.h. zwischen 0 und 0)</v>
      </c>
      <c r="C84" s="55"/>
      <c r="D84" s="132" t="s">
        <v>159</v>
      </c>
      <c r="E84" s="149"/>
      <c r="F84" s="28"/>
    </row>
    <row r="85" spans="1:8" x14ac:dyDescent="0.2">
      <c r="A85" s="119">
        <v>11.3</v>
      </c>
      <c r="B85" s="24" t="s">
        <v>157</v>
      </c>
      <c r="C85" s="148">
        <f>IF(C83&gt;0,IF(AND(C84&gt;=C83,C84&lt;=C83/NormVorgaben!C22*NormVorgaben!C23),1,IF(C84&lt;C83,C84/C83,C84/(C83/NormVorgaben!C22*NormVorgaben!C23))),0)</f>
        <v>0</v>
      </c>
      <c r="D85" s="150">
        <f>ABS(C85-100%)</f>
        <v>1</v>
      </c>
      <c r="E85" s="65"/>
      <c r="F85" s="28"/>
    </row>
    <row r="86" spans="1:8" ht="10.15" customHeight="1" x14ac:dyDescent="0.2">
      <c r="A86" s="119">
        <v>11.4</v>
      </c>
      <c r="B86" s="24" t="str">
        <f>"Sollwert der Anzahl Ausleihen (Nonbooks, mindestens " &amp; NormVorgaben!C24 &amp; " mal tatsächlicher Bestand)"</f>
        <v>Sollwert der Anzahl Ausleihen (Nonbooks, mindestens 6 mal tatsächlicher Bestand)</v>
      </c>
      <c r="C86" s="72">
        <f>NormVorgaben!C24*(C71)</f>
        <v>0</v>
      </c>
      <c r="D86" s="149"/>
      <c r="E86" s="65"/>
      <c r="F86" s="28"/>
    </row>
    <row r="87" spans="1:8" ht="20.45" customHeight="1" x14ac:dyDescent="0.2">
      <c r="A87" s="119">
        <v>11.5</v>
      </c>
      <c r="B87" s="24" t="str">
        <f>"Tatsächliche Anzahl Ausleihen Nonbooks (optimal: "&amp;NormVorgaben!C24&amp;" - "&amp;NormVorgaben!C25&amp;" mal des tatsächlichen Bestandes, d.h. zwischen " &amp; C86 &amp; " und " &amp; ROUND(C86/NormVorgaben!C24*NormVorgaben!C25,0) &amp; ")"</f>
        <v>Tatsächliche Anzahl Ausleihen Nonbooks (optimal: 6 - 8 mal des tatsächlichen Bestandes, d.h. zwischen 0 und 0)</v>
      </c>
      <c r="C87" s="55"/>
      <c r="D87" s="149"/>
      <c r="E87" s="65"/>
      <c r="F87" s="28"/>
    </row>
    <row r="88" spans="1:8" x14ac:dyDescent="0.2">
      <c r="A88" s="119">
        <v>11.6</v>
      </c>
      <c r="B88" s="127" t="s">
        <v>158</v>
      </c>
      <c r="C88" s="63">
        <f>IF(C86&gt;0,IF(AND(C87&gt;=C86,C87&lt;=C86/NormVorgaben!C24*NormVorgaben!C25),1,IF(C87&lt;C86,C87/C86,C87/(C86/NormVorgaben!C24*NormVorgaben!C25))),0)</f>
        <v>0</v>
      </c>
      <c r="D88" s="150">
        <f>ABS(C88-100%)</f>
        <v>1</v>
      </c>
      <c r="E88" s="65"/>
      <c r="F88" s="28"/>
    </row>
    <row r="89" spans="1:8" x14ac:dyDescent="0.2">
      <c r="A89" s="119"/>
      <c r="B89" s="24"/>
      <c r="C89" s="74"/>
      <c r="D89" s="65"/>
      <c r="E89" s="65"/>
      <c r="F89" s="28"/>
    </row>
    <row r="90" spans="1:8" ht="21" customHeight="1" x14ac:dyDescent="0.2">
      <c r="A90" s="121">
        <v>12</v>
      </c>
      <c r="B90" s="34" t="s">
        <v>71</v>
      </c>
      <c r="C90" s="64"/>
      <c r="D90" s="83">
        <f>Gewichtung!F251</f>
        <v>3.4188034188034191</v>
      </c>
      <c r="E90" s="83">
        <f>VLOOKUP(C93,Gewichtung!A253:B263,2)*D90</f>
        <v>0</v>
      </c>
      <c r="F90" s="28">
        <f>D90-E90</f>
        <v>3.4188034188034191</v>
      </c>
    </row>
    <row r="91" spans="1:8" x14ac:dyDescent="0.2">
      <c r="A91" s="119">
        <v>12.1</v>
      </c>
      <c r="B91" s="35" t="str">
        <f>"Anzahl Veranstaltungen bei " &amp; C11 &amp; " Einwohnern (Norm)"</f>
        <v>Anzahl Veranstaltungen bei  Einwohnern (Norm)</v>
      </c>
      <c r="C91" s="64">
        <f>VLOOKUP(C11,NormVorgaben!B34:C38,2)</f>
        <v>4</v>
      </c>
      <c r="D91" s="83"/>
      <c r="E91" s="65"/>
      <c r="F91" s="28"/>
      <c r="H91" s="144"/>
    </row>
    <row r="92" spans="1:8" x14ac:dyDescent="0.2">
      <c r="A92" s="119">
        <v>12.2</v>
      </c>
      <c r="B92" s="33" t="s">
        <v>16</v>
      </c>
      <c r="C92" s="57"/>
      <c r="D92" s="82"/>
      <c r="E92" s="65"/>
      <c r="F92" s="28"/>
    </row>
    <row r="93" spans="1:8" x14ac:dyDescent="0.2">
      <c r="A93" s="119">
        <v>12.3</v>
      </c>
      <c r="B93" s="24" t="s">
        <v>18</v>
      </c>
      <c r="C93" s="63">
        <f>C92/C91</f>
        <v>0</v>
      </c>
      <c r="D93" s="82"/>
      <c r="E93" s="65"/>
      <c r="F93" s="28"/>
    </row>
    <row r="94" spans="1:8" x14ac:dyDescent="0.2">
      <c r="A94" s="119"/>
      <c r="B94" s="33"/>
      <c r="C94" s="64"/>
      <c r="D94" s="82"/>
      <c r="E94" s="65"/>
      <c r="F94" s="28"/>
    </row>
    <row r="95" spans="1:8" s="145" customFormat="1" x14ac:dyDescent="0.2">
      <c r="A95" s="121">
        <v>13</v>
      </c>
      <c r="B95" s="125" t="str">
        <f>"Zusammenarbeit der "&amp;C12&amp;" mit der Schule"</f>
        <v>Zusammenarbeit der Hier klicken+Typ auswählen! mit der Schule</v>
      </c>
      <c r="C95" s="60"/>
      <c r="D95" s="82">
        <f>Gewichtung!F551</f>
        <v>5.1282051282051277</v>
      </c>
      <c r="E95" s="82">
        <f>IF(C12="Gemeindebibliothek",SUMIF(C99:C103,"ja",Gewichtung!B555:B559)*D95+VLOOKUP(C98,Gewichtung!A566:B576,2)*D95*Gewichtung!B554,SUMIF(C99:C103,"ja",Gewichtung!C555:C559)*D95+VLOOKUP(C98,Gewichtung!A566:B576,2)*D95*Gewichtung!C554)</f>
        <v>0</v>
      </c>
      <c r="F95" s="28">
        <f>D95-E95</f>
        <v>5.1282051282051277</v>
      </c>
      <c r="H95" s="146"/>
    </row>
    <row r="96" spans="1:8" s="145" customFormat="1" ht="21" customHeight="1" x14ac:dyDescent="0.2">
      <c r="A96" s="51">
        <v>13.1</v>
      </c>
      <c r="B96" s="2" t="str">
        <f>"Einführungen von Klassen in einer öffentlichen Bibliothek (Sollwert: mindestens " &amp; NormVorgaben!C41 &amp; " x pro Jahr und Klasse)"</f>
        <v>Einführungen von Klassen in einer öffentlichen Bibliothek (Sollwert: mindestens 1 x pro Jahr und Klasse)</v>
      </c>
      <c r="C96" s="64">
        <f>C13*NormVorgaben!C41</f>
        <v>0</v>
      </c>
      <c r="D96" s="82"/>
      <c r="E96" s="82"/>
      <c r="F96" s="27"/>
      <c r="H96" s="146"/>
    </row>
    <row r="97" spans="1:8" s="145" customFormat="1" ht="21" customHeight="1" x14ac:dyDescent="0.2">
      <c r="A97" s="51">
        <v>13.2</v>
      </c>
      <c r="B97" s="2" t="s">
        <v>110</v>
      </c>
      <c r="C97" s="57"/>
      <c r="D97" s="82"/>
      <c r="E97" s="82"/>
      <c r="F97" s="27"/>
      <c r="H97" s="144"/>
    </row>
    <row r="98" spans="1:8" s="145" customFormat="1" x14ac:dyDescent="0.2">
      <c r="A98" s="51">
        <v>13.3</v>
      </c>
      <c r="B98" s="2" t="s">
        <v>111</v>
      </c>
      <c r="C98" s="102">
        <f>IF(C96&gt;0,C97/C96,0)</f>
        <v>0</v>
      </c>
      <c r="D98" s="82"/>
      <c r="E98" s="82"/>
      <c r="F98" s="27"/>
      <c r="H98" s="144"/>
    </row>
    <row r="99" spans="1:8" s="145" customFormat="1" ht="33.75" x14ac:dyDescent="0.2">
      <c r="A99" s="51">
        <v>13.4</v>
      </c>
      <c r="B99" s="2" t="s">
        <v>124</v>
      </c>
      <c r="C99" s="56"/>
      <c r="D99" s="82"/>
      <c r="E99" s="82"/>
      <c r="F99" s="27"/>
    </row>
    <row r="100" spans="1:8" s="145" customFormat="1" ht="20.45" customHeight="1" x14ac:dyDescent="0.2">
      <c r="A100" s="51">
        <v>13.5</v>
      </c>
      <c r="B100" s="2" t="s">
        <v>127</v>
      </c>
      <c r="C100" s="56"/>
      <c r="D100" s="82"/>
      <c r="E100" s="82"/>
      <c r="F100" s="27"/>
    </row>
    <row r="101" spans="1:8" s="145" customFormat="1" ht="20.45" customHeight="1" x14ac:dyDescent="0.2">
      <c r="A101" s="51" t="str">
        <f>IF(C12="Gemeinde-Schulbibliothek","","13.6")</f>
        <v>13.6</v>
      </c>
      <c r="B101" s="2" t="str">
        <f>IF($C$12="Gemeinde-Schulbibliothek","(Mitarbeit von Personen der öffentlichen Bibliothek: Eintrag nur notwendig für eine Gemeindebibliothek. Für eine Gemeinde-Schulbibliothek bleibt das Feld leer.)","Mitarbeit von Personen der öffentlichen Bibliothek in der Schulbibliothek")</f>
        <v>Mitarbeit von Personen der öffentlichen Bibliothek in der Schulbibliothek</v>
      </c>
      <c r="C101" s="56"/>
      <c r="D101" s="82"/>
      <c r="E101" s="82"/>
      <c r="F101" s="27"/>
    </row>
    <row r="102" spans="1:8" x14ac:dyDescent="0.2">
      <c r="A102" s="51" t="str">
        <f>IF(C12="Gemeinde-Schulbibliothek","13.6","13.7")</f>
        <v>13.7</v>
      </c>
      <c r="B102" s="2" t="s">
        <v>128</v>
      </c>
      <c r="C102" s="56"/>
      <c r="D102" s="82"/>
      <c r="E102" s="65"/>
      <c r="F102" s="28"/>
    </row>
    <row r="103" spans="1:8" ht="22.5" x14ac:dyDescent="0.2">
      <c r="A103" s="51" t="str">
        <f>IF(C12="Gemeinde-Schulbibliothek","13.7","13.8")</f>
        <v>13.8</v>
      </c>
      <c r="B103" s="2" t="s">
        <v>129</v>
      </c>
      <c r="C103" s="56"/>
      <c r="D103" s="82"/>
      <c r="E103" s="65"/>
      <c r="F103" s="28"/>
    </row>
    <row r="104" spans="1:8" x14ac:dyDescent="0.2">
      <c r="A104" s="119"/>
      <c r="B104" s="33"/>
      <c r="C104" s="64"/>
      <c r="D104" s="82"/>
      <c r="E104" s="65"/>
      <c r="F104" s="28"/>
    </row>
    <row r="105" spans="1:8" x14ac:dyDescent="0.2">
      <c r="A105" s="121">
        <v>14</v>
      </c>
      <c r="B105" s="23" t="s">
        <v>70</v>
      </c>
      <c r="C105" s="56"/>
      <c r="D105" s="83">
        <f>Gewichtung!F601</f>
        <v>1.7094017094017095</v>
      </c>
      <c r="E105" s="83">
        <f>IF(C105="Link Gemeindewebsite zur Biblioth.",Gewichtung!B605*D105,IF(C105="Biblioth. Info auf Gemeindewebsite",Gewichtung!B604*D105,0))</f>
        <v>0</v>
      </c>
      <c r="F105" s="28">
        <f>D105-E105</f>
        <v>1.7094017094017095</v>
      </c>
      <c r="H105" s="144"/>
    </row>
    <row r="106" spans="1:8" x14ac:dyDescent="0.2">
      <c r="A106" s="119"/>
      <c r="B106" s="24"/>
      <c r="C106" s="64"/>
      <c r="D106" s="82"/>
      <c r="E106" s="65"/>
      <c r="F106" s="28"/>
    </row>
    <row r="107" spans="1:8" x14ac:dyDescent="0.2">
      <c r="A107" s="121">
        <v>15</v>
      </c>
      <c r="B107" s="23" t="s">
        <v>26</v>
      </c>
      <c r="C107" s="64"/>
      <c r="D107" s="83">
        <f>Gewichtung!F651</f>
        <v>3.4188034188034191</v>
      </c>
      <c r="E107" s="83">
        <f>IF(C108="ja",Gewichtung!B654*D107,0)+IF(C109="ja",Gewichtung!B655*D107,0)</f>
        <v>0</v>
      </c>
      <c r="F107" s="28">
        <f>D107-E107</f>
        <v>3.4188034188034191</v>
      </c>
    </row>
    <row r="108" spans="1:8" x14ac:dyDescent="0.2">
      <c r="A108" s="119">
        <v>15.1</v>
      </c>
      <c r="B108" s="24" t="s">
        <v>148</v>
      </c>
      <c r="C108" s="56"/>
      <c r="D108" s="82"/>
      <c r="E108" s="65"/>
      <c r="F108" s="28"/>
    </row>
    <row r="109" spans="1:8" x14ac:dyDescent="0.2">
      <c r="A109" s="119">
        <v>15.2</v>
      </c>
      <c r="B109" s="22" t="s">
        <v>141</v>
      </c>
      <c r="C109" s="56"/>
      <c r="D109" s="82"/>
      <c r="E109" s="65"/>
      <c r="F109" s="28"/>
    </row>
    <row r="110" spans="1:8" x14ac:dyDescent="0.2">
      <c r="A110" s="119"/>
      <c r="B110" s="24"/>
      <c r="C110" s="64"/>
      <c r="D110" s="85"/>
      <c r="E110" s="65"/>
      <c r="F110" s="28"/>
    </row>
    <row r="111" spans="1:8" ht="21" customHeight="1" x14ac:dyDescent="0.2">
      <c r="A111" s="119">
        <v>16</v>
      </c>
      <c r="B111" s="23" t="s">
        <v>113</v>
      </c>
      <c r="C111" s="64"/>
      <c r="D111" s="84">
        <f>Gewichtung!F701</f>
        <v>10.256410256410255</v>
      </c>
      <c r="E111" s="82">
        <f>IF(AND(C112&lt;&gt;0,C114&lt;&gt;0,C116&lt;&gt;0,C118&lt;&gt;0,C120&lt;&gt;0),VLOOKUP(SUM(D113,D115,D117,D119,D121),Gewichtung!A720:B740,2)*VLOOKUP(D125,Gewichtung!A720:B740,2)*D111,0)</f>
        <v>0</v>
      </c>
      <c r="F111" s="85">
        <f>D111-E111</f>
        <v>10.256410256410255</v>
      </c>
    </row>
    <row r="112" spans="1:8" x14ac:dyDescent="0.2">
      <c r="A112" s="119">
        <v>16.100000000000001</v>
      </c>
      <c r="B112" s="24" t="s">
        <v>114</v>
      </c>
      <c r="C112" s="117"/>
      <c r="D112" s="151" t="s">
        <v>159</v>
      </c>
      <c r="E112" s="132" t="s">
        <v>135</v>
      </c>
      <c r="F112" s="28"/>
    </row>
    <row r="113" spans="1:6" x14ac:dyDescent="0.2">
      <c r="A113" s="119">
        <v>16.2</v>
      </c>
      <c r="B113" s="24" t="str">
        <f>"Peronalkosten als prozentualer Anteil des Totalaufwands (optimal "&amp;NormVorgaben!C103 *100 &amp; "%" &amp; " - "&amp;NormVorgaben!D103*100&amp;"%)"</f>
        <v>Peronalkosten als prozentualer Anteil des Totalaufwands (optimal 50% - 65%)</v>
      </c>
      <c r="C113" s="108">
        <f>IF(AND(C112&lt;&gt;0,C114&lt;&gt;0,C116&lt;&gt;0,C118&lt;&gt;0,C120&lt;&gt;0),C112/C122,0)</f>
        <v>0</v>
      </c>
      <c r="D113" s="154">
        <f>IF(C113&lt;NormVorgaben!C103,NormVorgaben!C103-C113,IF(C113&gt;NormVorgaben!D103,C113-NormVorgaben!D103,0))</f>
        <v>0.5</v>
      </c>
      <c r="E113" s="129"/>
      <c r="F113" s="129"/>
    </row>
    <row r="114" spans="1:6" x14ac:dyDescent="0.2">
      <c r="A114" s="119">
        <v>16.3</v>
      </c>
      <c r="B114" s="24" t="s">
        <v>115</v>
      </c>
      <c r="C114" s="117"/>
      <c r="D114" s="131"/>
      <c r="E114" s="92"/>
      <c r="F114" s="28"/>
    </row>
    <row r="115" spans="1:6" x14ac:dyDescent="0.2">
      <c r="A115" s="119">
        <v>16.399999999999999</v>
      </c>
      <c r="B115" s="24" t="str">
        <f>"Medienkosten als prozentualer Anteil des Totalaufwands (optimal "&amp;NormVorgaben!C104 *100 &amp; "%" &amp; " - "&amp;NormVorgaben!D104*100&amp;"%)"</f>
        <v>Medienkosten als prozentualer Anteil des Totalaufwands (optimal 15% - 20%)</v>
      </c>
      <c r="C115" s="108">
        <f>IF(AND(C112&lt;&gt;0,C114&lt;&gt;0,C116&lt;&gt;0,C118&lt;&gt;0,C120&lt;&gt;0),C114/C122,0)</f>
        <v>0</v>
      </c>
      <c r="D115" s="154">
        <f>IF(C115&lt;NormVorgaben!C104,NormVorgaben!C104-C115,IF(C115&gt;NormVorgaben!D104,C115-NormVorgaben!D104,0))</f>
        <v>0.15</v>
      </c>
      <c r="E115" s="129"/>
      <c r="F115" s="129"/>
    </row>
    <row r="116" spans="1:6" x14ac:dyDescent="0.2">
      <c r="A116" s="119">
        <v>16.5</v>
      </c>
      <c r="B116" s="47" t="s">
        <v>116</v>
      </c>
      <c r="C116" s="117"/>
      <c r="D116" s="131"/>
      <c r="E116" s="92"/>
      <c r="F116" s="28"/>
    </row>
    <row r="117" spans="1:6" x14ac:dyDescent="0.2">
      <c r="A117" s="119">
        <v>16.600000000000001</v>
      </c>
      <c r="B117" s="24" t="str">
        <f>"Raumkosten als prozentualer Anteil des Totalaufwands (optimal "&amp;NormVorgaben!C105 *100 &amp; "%" &amp; " - "&amp;NormVorgaben!D105*100&amp;"%)"</f>
        <v>Raumkosten als prozentualer Anteil des Totalaufwands (optimal 10% - 15%)</v>
      </c>
      <c r="C117" s="108">
        <f>IF(AND(C112&lt;&gt;0,C114&lt;&gt;0,C116&lt;&gt;0,C118&lt;&gt;0,C120&lt;&gt;0),C116/C122,0)</f>
        <v>0</v>
      </c>
      <c r="D117" s="154">
        <f>IF(C117&lt;NormVorgaben!C105,NormVorgaben!C105-C117,IF(C117&gt;NormVorgaben!D105,C117-NormVorgaben!D105,0))</f>
        <v>0.1</v>
      </c>
      <c r="E117" s="129"/>
      <c r="F117" s="129"/>
    </row>
    <row r="118" spans="1:6" x14ac:dyDescent="0.2">
      <c r="A118" s="119">
        <v>16.7</v>
      </c>
      <c r="B118" s="24" t="s">
        <v>142</v>
      </c>
      <c r="C118" s="117"/>
      <c r="D118" s="154"/>
      <c r="E118" s="129"/>
      <c r="F118" s="129"/>
    </row>
    <row r="119" spans="1:6" x14ac:dyDescent="0.2">
      <c r="A119" s="119">
        <v>16.8</v>
      </c>
      <c r="B119" s="24" t="str">
        <f>"IT-Kosten als prozentualer Anteil des Totalaufwands (optimal "&amp;NormVorgaben!C106 *100 &amp; "%" &amp; " - "&amp;NormVorgaben!D106*100&amp;"%)"</f>
        <v>IT-Kosten als prozentualer Anteil des Totalaufwands (optimal 5% - 10%)</v>
      </c>
      <c r="C119" s="108">
        <f>IF(AND(C112&lt;&gt;0,C114&lt;&gt;0,C116&lt;&gt;0,C118&lt;&gt;0,C120&lt;&gt;0),C118/C122,0)</f>
        <v>0</v>
      </c>
      <c r="D119" s="154">
        <f>IF(C119&lt;NormVorgaben!C106,NormVorgaben!C106-C119,IF(C119&gt;NormVorgaben!D106,C119-NormVorgaben!D106,0))</f>
        <v>0.05</v>
      </c>
      <c r="E119" s="129"/>
      <c r="F119" s="129"/>
    </row>
    <row r="120" spans="1:6" x14ac:dyDescent="0.2">
      <c r="A120" s="119">
        <v>16.899999999999999</v>
      </c>
      <c r="B120" s="24" t="s">
        <v>146</v>
      </c>
      <c r="C120" s="117"/>
      <c r="D120" s="131"/>
      <c r="E120" s="92"/>
      <c r="F120" s="28"/>
    </row>
    <row r="121" spans="1:6" x14ac:dyDescent="0.2">
      <c r="A121" s="123" t="s">
        <v>144</v>
      </c>
      <c r="B121" s="24" t="str">
        <f>"übrige Sachkosten als prozentualer Anteil des Totalaufwands (optimal "&amp;NormVorgaben!C107 *100 &amp; "%" &amp; " - "&amp;NormVorgaben!D107*100&amp;"%)"</f>
        <v>übrige Sachkosten als prozentualer Anteil des Totalaufwands (optimal 10% - 15%)</v>
      </c>
      <c r="C121" s="108">
        <f>IF(AND(C112&lt;&gt;0,C114&lt;&gt;0,C116&lt;&gt;0,C118&lt;&gt;0,C120&lt;&gt;0),C120/C122,0)</f>
        <v>0</v>
      </c>
      <c r="D121" s="154">
        <f>IF(C121&lt;NormVorgaben!C107,NormVorgaben!C107-C121,IF(C121&gt;NormVorgaben!D107,C121-NormVorgaben!D107,0))</f>
        <v>0.1</v>
      </c>
      <c r="E121" s="129"/>
      <c r="F121" s="129"/>
    </row>
    <row r="122" spans="1:6" x14ac:dyDescent="0.2">
      <c r="A122" s="123" t="s">
        <v>145</v>
      </c>
      <c r="B122" s="24" t="s">
        <v>133</v>
      </c>
      <c r="C122" s="118">
        <f>SUM(C112,C114,C116,C118,C120)</f>
        <v>0</v>
      </c>
      <c r="D122" s="131"/>
      <c r="E122" s="92"/>
      <c r="F122" s="28"/>
    </row>
    <row r="123" spans="1:6" x14ac:dyDescent="0.2">
      <c r="A123" s="123" t="str">
        <f>IF(C12="Gemeinde-Schulbibliothek","16.12","")</f>
        <v/>
      </c>
      <c r="B123" s="24" t="str">
        <f>IF(C12="Gemeinde-Schulbibliothek","Total Sollaufwand (pro Klasse: Fr. "&amp; NormVorgaben!C111 &amp; ")","")</f>
        <v/>
      </c>
      <c r="C123" s="118">
        <f>IF($C$12="Gemeinde-Schulbibliothek",C13*NormVorgaben!C111,0)</f>
        <v>0</v>
      </c>
      <c r="D123" s="131"/>
      <c r="E123" s="92"/>
      <c r="F123" s="28"/>
    </row>
    <row r="124" spans="1:6" x14ac:dyDescent="0.2">
      <c r="A124" s="123" t="str">
        <f>IF(C12="Gemeinde-Schulbibliothek","16.13","16.12")</f>
        <v>16.12</v>
      </c>
      <c r="B124" s="24" t="s">
        <v>117</v>
      </c>
      <c r="C124" s="118">
        <f>NormVorgaben!C110</f>
        <v>30</v>
      </c>
      <c r="D124" s="131"/>
      <c r="E124" s="92"/>
      <c r="F124" s="28"/>
    </row>
    <row r="125" spans="1:6" ht="20.45" customHeight="1" x14ac:dyDescent="0.2">
      <c r="A125" s="123" t="str">
        <f>IF(C12="Gemeinde-Schulbibliothek","16.14","16.13")</f>
        <v>16.13</v>
      </c>
      <c r="B125" s="24" t="str">
        <f>IF($C$12="Gemeinde-Schulbibliothek","Tatsächlicher Aufwand pro Einwohner ohne Schüler (in Fr.; Aufwand für Klassen berücksichtigt)","Tatsächlicher Aufwand pro Einwohner (in Fr.)")</f>
        <v>Tatsächlicher Aufwand pro Einwohner (in Fr.)</v>
      </c>
      <c r="C125" s="118">
        <f>IF(AND(C11&lt;&gt;0,C122&gt;=C123),IF(C12="Gemeinde-Schulbibliothek",(C122-C123)/(C11-C14),C122/C11),0)</f>
        <v>0</v>
      </c>
      <c r="D125" s="154">
        <f>ABS(C126-100%)</f>
        <v>1</v>
      </c>
      <c r="E125" s="129"/>
      <c r="F125" s="129"/>
    </row>
    <row r="126" spans="1:6" x14ac:dyDescent="0.2">
      <c r="A126" s="123" t="str">
        <f>IF(C12="Gemeinde-Schulbibliothek","16.15","16.14")</f>
        <v>16.14</v>
      </c>
      <c r="B126" s="24" t="s">
        <v>112</v>
      </c>
      <c r="C126" s="108">
        <f>C125/C124</f>
        <v>0</v>
      </c>
      <c r="D126" s="131"/>
      <c r="E126" s="92"/>
      <c r="F126" s="129"/>
    </row>
    <row r="127" spans="1:6" x14ac:dyDescent="0.2">
      <c r="A127" s="123"/>
      <c r="B127" s="48"/>
      <c r="C127" s="118"/>
      <c r="D127" s="131"/>
      <c r="E127" s="130"/>
      <c r="F127" s="129"/>
    </row>
    <row r="128" spans="1:6" x14ac:dyDescent="0.2">
      <c r="A128" s="123"/>
      <c r="B128" s="24"/>
      <c r="C128" s="54"/>
      <c r="D128" s="129"/>
      <c r="E128" s="129"/>
      <c r="F128" s="129"/>
    </row>
    <row r="129" spans="1:6" x14ac:dyDescent="0.2">
      <c r="A129" s="119"/>
      <c r="B129" s="37" t="s">
        <v>1</v>
      </c>
      <c r="C129" s="77"/>
      <c r="D129" s="116">
        <f>SUM(D16,D21,D28,D33,D39,D45,D50,D55,D68,D74,D82,D90,D95,D105,D107,D111)</f>
        <v>100</v>
      </c>
      <c r="E129" s="86">
        <f>SUM(E16,E21,E28,E33,E39,E45,E50,E55,E68,E74,E82,E90,E95,E105,E107,E111)</f>
        <v>0</v>
      </c>
      <c r="F129" s="28"/>
    </row>
    <row r="130" spans="1:6" x14ac:dyDescent="0.2">
      <c r="A130" s="109"/>
      <c r="B130" s="48"/>
      <c r="C130" s="78"/>
      <c r="D130" s="87"/>
      <c r="E130" s="115"/>
      <c r="F130" s="49"/>
    </row>
    <row r="131" spans="1:6" x14ac:dyDescent="0.2">
      <c r="A131" s="124"/>
      <c r="B131" s="126" t="s">
        <v>67</v>
      </c>
      <c r="C131" s="78"/>
      <c r="D131" s="87"/>
      <c r="E131" s="115"/>
      <c r="F131" s="49"/>
    </row>
    <row r="132" spans="1:6" ht="20.45" customHeight="1" x14ac:dyDescent="0.2">
      <c r="A132" s="109"/>
      <c r="B132" s="48" t="s">
        <v>68</v>
      </c>
      <c r="C132" s="78"/>
      <c r="D132" s="87"/>
      <c r="E132" s="115"/>
      <c r="F132" s="49"/>
    </row>
    <row r="133" spans="1:6" ht="12" x14ac:dyDescent="0.2">
      <c r="A133" s="109"/>
      <c r="B133" s="164" t="s">
        <v>163</v>
      </c>
      <c r="C133" s="164"/>
      <c r="D133" s="87"/>
      <c r="E133" s="115"/>
      <c r="F133" s="49"/>
    </row>
    <row r="134" spans="1:6" x14ac:dyDescent="0.2">
      <c r="A134" s="109"/>
      <c r="B134" s="162" t="s">
        <v>164</v>
      </c>
      <c r="C134" s="162"/>
      <c r="D134" s="87"/>
      <c r="E134" s="115"/>
      <c r="F134" s="49"/>
    </row>
    <row r="135" spans="1:6" x14ac:dyDescent="0.2">
      <c r="A135" s="109"/>
      <c r="B135" s="163"/>
      <c r="C135" s="163"/>
      <c r="D135" s="87"/>
      <c r="E135" s="115"/>
      <c r="F135" s="49"/>
    </row>
    <row r="136" spans="1:6" x14ac:dyDescent="0.2">
      <c r="A136" s="109"/>
      <c r="B136" s="163"/>
      <c r="C136" s="163"/>
      <c r="D136" s="87"/>
      <c r="E136" s="115"/>
      <c r="F136" s="49"/>
    </row>
    <row r="137" spans="1:6" x14ac:dyDescent="0.2">
      <c r="A137" s="109"/>
      <c r="B137" s="163"/>
      <c r="C137" s="163"/>
      <c r="D137" s="87"/>
      <c r="E137" s="115"/>
      <c r="F137" s="49"/>
    </row>
    <row r="138" spans="1:6" x14ac:dyDescent="0.2">
      <c r="A138" s="109"/>
      <c r="B138" s="163"/>
      <c r="C138" s="163"/>
      <c r="D138" s="87"/>
      <c r="E138" s="115"/>
      <c r="F138" s="49"/>
    </row>
    <row r="139" spans="1:6" x14ac:dyDescent="0.2">
      <c r="A139" s="109"/>
      <c r="B139" s="163"/>
      <c r="C139" s="163"/>
      <c r="D139" s="87"/>
      <c r="E139" s="115"/>
      <c r="F139" s="49"/>
    </row>
    <row r="140" spans="1:6" x14ac:dyDescent="0.2">
      <c r="A140" s="109"/>
      <c r="B140" s="163"/>
      <c r="C140" s="163"/>
      <c r="D140" s="87"/>
      <c r="E140" s="115"/>
      <c r="F140" s="49"/>
    </row>
    <row r="141" spans="1:6" x14ac:dyDescent="0.2">
      <c r="A141" s="109"/>
      <c r="B141" s="163"/>
      <c r="C141" s="163"/>
      <c r="D141" s="87"/>
      <c r="E141" s="115"/>
      <c r="F141" s="49"/>
    </row>
    <row r="142" spans="1:6" x14ac:dyDescent="0.2">
      <c r="A142" s="109"/>
      <c r="B142" s="163"/>
      <c r="C142" s="163"/>
      <c r="D142" s="87"/>
      <c r="E142" s="115"/>
      <c r="F142" s="49"/>
    </row>
    <row r="143" spans="1:6" x14ac:dyDescent="0.2">
      <c r="A143" s="109"/>
      <c r="B143" s="163"/>
      <c r="C143" s="163"/>
      <c r="D143" s="87"/>
      <c r="E143" s="115"/>
      <c r="F143" s="49"/>
    </row>
    <row r="144" spans="1:6" x14ac:dyDescent="0.2">
      <c r="A144" s="109"/>
      <c r="B144" s="48"/>
      <c r="C144" s="78"/>
      <c r="D144" s="87"/>
      <c r="E144" s="115"/>
      <c r="F144" s="49"/>
    </row>
    <row r="145" spans="1:6" x14ac:dyDescent="0.2">
      <c r="A145" s="109"/>
      <c r="B145" s="51" t="s">
        <v>74</v>
      </c>
      <c r="C145" s="79"/>
      <c r="D145" s="87"/>
      <c r="E145" s="115"/>
      <c r="F145" s="49"/>
    </row>
    <row r="146" spans="1:6" x14ac:dyDescent="0.2">
      <c r="A146" s="109"/>
      <c r="B146" s="51" t="s">
        <v>75</v>
      </c>
      <c r="C146" s="80"/>
      <c r="D146" s="87"/>
      <c r="E146" s="115"/>
      <c r="F146" s="49"/>
    </row>
    <row r="147" spans="1:6" x14ac:dyDescent="0.2">
      <c r="A147" s="109"/>
      <c r="B147" s="48"/>
      <c r="C147" s="78"/>
      <c r="D147" s="87"/>
      <c r="E147" s="147" t="s">
        <v>136</v>
      </c>
      <c r="F147" s="49"/>
    </row>
  </sheetData>
  <sheetProtection password="F79B" sheet="1" objects="1" scenarios="1" selectLockedCells="1"/>
  <mergeCells count="14">
    <mergeCell ref="B134:C143"/>
    <mergeCell ref="B133:C133"/>
    <mergeCell ref="C2:E2"/>
    <mergeCell ref="A1:B1"/>
    <mergeCell ref="C4:E4"/>
    <mergeCell ref="C5:E5"/>
    <mergeCell ref="C6:E6"/>
    <mergeCell ref="C7:E7"/>
    <mergeCell ref="F1:F2"/>
    <mergeCell ref="C1:E1"/>
    <mergeCell ref="C3:E3"/>
    <mergeCell ref="C8:D8"/>
    <mergeCell ref="F4:F5"/>
    <mergeCell ref="F6:F8"/>
  </mergeCells>
  <phoneticPr fontId="0" type="noConversion"/>
  <dataValidations count="31">
    <dataValidation type="custom" allowBlank="1" showInputMessage="1" showErrorMessage="1" errorTitle="Vorsicht!" error="Eingabe muss eine Zahl sein, die grösser ist als die Zahl in C30! (Eventuell C30 vorübergehend auf 0 zurücksetzen) und C26 muss grösser als C23 sein." sqref="C26">
      <formula1>AND(C26&gt;C30,C23/C25&gt;=1,C26&gt;=C23)</formula1>
    </dataValidation>
    <dataValidation type="custom" allowBlank="1" showInputMessage="1" showErrorMessage="1" errorTitle="Vorsicht!" error="Eingabe muss eine Zahl sein, die kleiner ist als die Zahl in C26!" sqref="C30">
      <formula1>C26&gt;C30</formula1>
    </dataValidation>
    <dataValidation type="custom" allowBlank="1" showInputMessage="1" showErrorMessage="1" errorTitle="Vorsicht!" error="Die Zahl muss im Bereich zwischen 0% und 100% liegen und C23 muss grösser als C25 sein." sqref="C25">
      <formula1>AND(C25&gt;=0,C25&lt;=1,C23&gt;=C25)</formula1>
    </dataValidation>
    <dataValidation type="custom" allowBlank="1" showInputMessage="1" showErrorMessage="1" errorTitle="Vorsicht!" error="Die Zahl (ohne Dezimalstellen) muss gleich oder kleiner als die Zahl in C50 sein und zwischen 0 und 200 liegen." sqref="C52">
      <formula1>AND(C52&lt;=C51,C52&gt;=0,C52&lt;=200)</formula1>
    </dataValidation>
    <dataValidation type="custom" allowBlank="1" showInputMessage="1" showErrorMessage="1" errorTitle="Vorsicht!" error="Zahl muss zwischen 0 und 2'000 liegen und die jährliche Öffnungszeit (C56*52) muss grösser sein als die Betreungszeit." sqref="C65">
      <formula1>AND((C57*52)&gt;=C65,C65&gt;0,C65&lt;2000)</formula1>
    </dataValidation>
    <dataValidation allowBlank="1" showInputMessage="1" showErrorMessage="1" error="Gültiges Datum in der Form 01.05.2008 eingeben." sqref="C146"/>
    <dataValidation type="custom" allowBlank="1" showInputMessage="1" showErrorMessage="1" errorTitle="Vorsicht!" error="Die Zahl muss zwischen 0 und 5'000'000 liegen." sqref="C116 C112 C120">
      <formula1>AND(C112&gt;=0,C112&lt;=5000000)</formula1>
    </dataValidation>
    <dataValidation type="custom" allowBlank="1" showInputMessage="1" showErrorMessage="1" errorTitle="Vorsicht!" error="Die Zahl muss zwschen 0 und 5'000'000 liegen." sqref="C114">
      <formula1>AND(C114&gt;=0,C114&lt;=5000000)</formula1>
    </dataValidation>
    <dataValidation type="list" allowBlank="1" showInputMessage="1" showErrorMessage="1" errorTitle="Vorsicht!" error="Die Eingabe ist &quot;ja&quot; oder &quot;nein&quot;." sqref="C108:C109 C62">
      <formula1>"ja,nein"</formula1>
    </dataValidation>
    <dataValidation type="list" allowBlank="1" showInputMessage="1" showErrorMessage="1" errorTitle="Vorsicht!" error="Klicken Sie auf den Pfeil rechts und wählen Sie eine der Möglichkeiten." sqref="C105">
      <formula1>"keine Info über Bibliothek,Biblioth. Info auf Gemeindewebsite,Link Gemeindewebsite zur Biblioth."</formula1>
    </dataValidation>
    <dataValidation type="list" allowBlank="1" showInputMessage="1" showErrorMessage="1" errorTitle="Vorsicht!" error="Der Eintrag muss entweder &quot;ja&quot; oder &quot;nein&quot; sein." sqref="C99:C103">
      <formula1>"ja,nein"</formula1>
    </dataValidation>
    <dataValidation type="custom" allowBlank="1" showInputMessage="1" showErrorMessage="1" errorTitle="Vorsicht!" error="Die Zahl muss im Bereich zwischen 0 und 200 liegen." sqref="C92">
      <formula1>AND(C92&gt;=0,C92&lt;=200)</formula1>
    </dataValidation>
    <dataValidation type="custom" allowBlank="1" showInputMessage="1" showErrorMessage="1" errorTitle="Vorsicht!" error="Die Zahl muss zwischen 0 und 1'000'000 liegen." sqref="C84:C87">
      <formula1>AND(C84&gt;=0,C84&lt;=1000000)</formula1>
    </dataValidation>
    <dataValidation type="whole" allowBlank="1" showInputMessage="1" showErrorMessage="1" errorTitle="Vorsicht" error="Ganze Zahl muss zwischen 0 und 20000 liegen." sqref="C78">
      <formula1>0</formula1>
      <formula2>20000</formula2>
    </dataValidation>
    <dataValidation type="custom" allowBlank="1" showInputMessage="1" showErrorMessage="1" errorTitle="Vorsicht!" error="Die Zahl  muss zwischen 0 und 10'000 liegen." sqref="C79">
      <formula1>AND(C79&gt;=0,C79&lt;=10000)</formula1>
    </dataValidation>
    <dataValidation type="custom" allowBlank="1" showInputMessage="1" showErrorMessage="1" errorTitle="Vorsicht!" error="Die Zahl muss zwischen 1 und 3'000'000 liegen." sqref="C71">
      <formula1>AND(C71&gt;=1,C71&lt;=3000000)</formula1>
    </dataValidation>
    <dataValidation type="custom" showInputMessage="1" showErrorMessage="1" errorTitle="Vorsicht!" error="Die Zahl muss zwischen 1 und 3'000'000 liegen." sqref="C70">
      <formula1>AND(C70&gt;=1,C70&lt;=3000000)</formula1>
    </dataValidation>
    <dataValidation type="custom" allowBlank="1" showInputMessage="1" showErrorMessage="1" errorTitle="Vorsicht!" error="Die Zahl muss zwischen 0 und 10'000 liegen." sqref="C76 C13">
      <formula1>AND(C13&gt;=0,C13&lt;=10000)</formula1>
    </dataValidation>
    <dataValidation type="custom" allowBlank="1" showInputMessage="1" showErrorMessage="1" errorTitle="Vorsicht!" error="Zahl muss im Bereich zwischen 0 und 200 liegen." sqref="C97">
      <formula1>AND(C97&gt;=0,C97&lt;=200)</formula1>
    </dataValidation>
    <dataValidation type="custom" allowBlank="1" showInputMessage="1" showErrorMessage="1" errorTitle="Vorsicht!" error="Die Zahl muss zwischen 0 und 168 liegen." sqref="C57">
      <formula1>AND(C57&gt;=0,C57&lt;=168)</formula1>
    </dataValidation>
    <dataValidation type="custom" allowBlank="1" showInputMessage="1" showErrorMessage="1" errorTitle="Vorsicht!" error="Die Zahl muss zwischen 1 und 7 liegen." sqref="C60">
      <formula1>AND(C60&gt;=1,C60&lt;=7)</formula1>
    </dataValidation>
    <dataValidation type="custom" allowBlank="1" showInputMessage="1" showErrorMessage="1" errorTitle="Vorsicht!" error="Die Zahl muss zwischen 0 und 200 liegen." sqref="C51 C47">
      <formula1>AND(C47&gt;=0,C47&lt;=200)</formula1>
    </dataValidation>
    <dataValidation type="custom" allowBlank="1" showInputMessage="1" showErrorMessage="1" errorTitle="Vorsicht!" error="Die Zahl muss zwischen 10 und 200'000 liegen." sqref="C36">
      <formula1>AND(C36&gt;10,C36&lt;200000)</formula1>
    </dataValidation>
    <dataValidation type="list" allowBlank="1" showInputMessage="1" showErrorMessage="1" errorTitle="Vorsicht!" error="Klicken Sie auf den Pfeil rechts und wählen Sie eine der Möglichkeiten." sqref="C29">
      <formula1>"ohne Ausbildung,ZB-Einführungskurs (1 Woche),SAB-Grundkurs(=ZB-Aufbaukurs),SAB Leitungskurs,ZB-Kurs (vor 1999 inkl. Leitungskurs),Bibl. Berufsausbildung I+D oder BBS"</formula1>
    </dataValidation>
    <dataValidation type="custom" allowBlank="1" showInputMessage="1" showErrorMessage="1" errorTitle="Vorsicht!" error="Die Zahl muss zwischen 0.1 (normalerweise mit Dezimalpunkt und nicht Komma) und 168 liegen." sqref="C23">
      <formula1>AND(C23&gt;=0.1,C23&lt;=168)</formula1>
    </dataValidation>
    <dataValidation type="list" showInputMessage="1" showErrorMessage="1" errorTitle="Vorsicht!" error="Klicken Sie auf den Pfeil rechts und wählen Sie eine der Möglichkeiten." sqref="C12">
      <formula1>"Hier klicken+Typ auswählen!,Gemeindebibliothek,Gemeinde-Schulbibliothek"</formula1>
    </dataValidation>
    <dataValidation type="whole" allowBlank="1" showInputMessage="1" showErrorMessage="1" errorTitle="Vorsicht!" error="Die Zahl (ohne Dezimalstellen) muss im Bereich zwischen 0 und 90'000 liegen." sqref="C19:C20 C15:C17">
      <formula1>0</formula1>
      <formula2>90000</formula2>
    </dataValidation>
    <dataValidation type="custom" allowBlank="1" showInputMessage="1" showErrorMessage="1" errorTitle="Vorsicht!" error="Die Zahl  muss zwischen 10 und 500'000 liegen." sqref="C11">
      <formula1>AND(C11&gt;=10,C11&lt;=500000)</formula1>
    </dataValidation>
    <dataValidation type="custom" allowBlank="1" showInputMessage="1" showErrorMessage="1" errorTitle="Vorsicht!" error="Die Zahl muss zwischen 0 und 200'000 liegen." sqref="C18">
      <formula1>AND(C18&gt;=0,C18&lt;=200000)</formula1>
    </dataValidation>
    <dataValidation type="custom" allowBlank="1" showInputMessage="1" showErrorMessage="1" errorTitle="Vorsicht!" error="Die Zahl muss zwischen 0 und 50'000 liegen." sqref="C14">
      <formula1>AND(C14&gt;=0,C14&lt;=50000)</formula1>
    </dataValidation>
    <dataValidation type="custom" allowBlank="1" showInputMessage="1" showErrorMessage="1" errorTitle="Vorsicht!" error="Die Zahl  muss zwischen 0 und 200 liegen." sqref="C41:C42">
      <formula1>AND(C41&gt;=0,C41&lt;=200)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landscape" horizontalDpi="300" verticalDpi="300" r:id="rId1"/>
  <headerFooter alignWithMargins="0">
    <oddFooter>&amp;L&amp;8&amp;D&amp;C&amp;8&amp;P von &amp;N&amp;R&amp;8&amp;F
Kantonale Bibliothekskommission Zürich</oddFooter>
  </headerFooter>
  <rowBreaks count="4" manualBreakCount="4">
    <brk id="32" max="4" man="1"/>
    <brk id="67" max="4" man="1"/>
    <brk id="94" max="4" man="1"/>
    <brk id="129" max="4" man="1"/>
  </rowBreaks>
  <ignoredErrors>
    <ignoredError sqref="B35 C69 C77:C78 C75 B91:C91 E95 B72:C72 C119 C93 C17 C19 C22 C37 C40 E21 C46 C48 C53 C125 C80 C61 C24 C31 E28 E107 C63:C64 C66 E105 C96 C98 C115 C58:C59 C113 E111 C121:C123 C117 C56 C83 C85:C86 C88 C43" emptyCellReference="1"/>
    <ignoredError sqref="A121:A122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F111"/>
  <sheetViews>
    <sheetView zoomScale="75" workbookViewId="0"/>
  </sheetViews>
  <sheetFormatPr baseColWidth="10" defaultRowHeight="12.75" x14ac:dyDescent="0.2"/>
  <cols>
    <col min="1" max="1" width="11.42578125" style="15" customWidth="1"/>
    <col min="2" max="2" width="65.7109375" customWidth="1"/>
    <col min="4" max="4" width="25" customWidth="1"/>
  </cols>
  <sheetData>
    <row r="1" spans="1:4" s="12" customFormat="1" x14ac:dyDescent="0.2">
      <c r="A1" s="14">
        <f>Eingaben!A68</f>
        <v>9</v>
      </c>
      <c r="B1" s="12" t="s">
        <v>28</v>
      </c>
      <c r="C1" s="12">
        <v>1.5</v>
      </c>
    </row>
    <row r="2" spans="1:4" s="12" customFormat="1" x14ac:dyDescent="0.2">
      <c r="A2" s="14"/>
      <c r="B2" s="12" t="s">
        <v>29</v>
      </c>
      <c r="C2" s="12">
        <v>12</v>
      </c>
    </row>
    <row r="5" spans="1:4" x14ac:dyDescent="0.2">
      <c r="A5" s="15">
        <f>Eingaben!A33</f>
        <v>4</v>
      </c>
      <c r="B5" t="s">
        <v>53</v>
      </c>
      <c r="C5">
        <v>0</v>
      </c>
      <c r="D5">
        <v>30</v>
      </c>
    </row>
    <row r="6" spans="1:4" x14ac:dyDescent="0.2">
      <c r="C6">
        <v>3500</v>
      </c>
      <c r="D6">
        <v>30</v>
      </c>
    </row>
    <row r="7" spans="1:4" x14ac:dyDescent="0.2">
      <c r="C7">
        <v>7500</v>
      </c>
      <c r="D7">
        <v>25</v>
      </c>
    </row>
    <row r="8" spans="1:4" x14ac:dyDescent="0.2">
      <c r="C8">
        <v>15000</v>
      </c>
      <c r="D8">
        <v>23</v>
      </c>
    </row>
    <row r="9" spans="1:4" x14ac:dyDescent="0.2">
      <c r="C9">
        <v>22500</v>
      </c>
      <c r="D9">
        <v>22</v>
      </c>
    </row>
    <row r="10" spans="1:4" x14ac:dyDescent="0.2">
      <c r="C10">
        <v>30000</v>
      </c>
      <c r="D10">
        <v>20</v>
      </c>
    </row>
    <row r="11" spans="1:4" x14ac:dyDescent="0.2">
      <c r="C11">
        <v>45000</v>
      </c>
      <c r="D11">
        <v>20</v>
      </c>
    </row>
    <row r="13" spans="1:4" x14ac:dyDescent="0.2">
      <c r="A13" s="15">
        <f>Eingaben!A33</f>
        <v>4</v>
      </c>
      <c r="B13" t="s">
        <v>54</v>
      </c>
      <c r="C13">
        <v>30</v>
      </c>
      <c r="D13" t="s">
        <v>55</v>
      </c>
    </row>
    <row r="17" spans="1:4" x14ac:dyDescent="0.2">
      <c r="A17" s="15">
        <f>Eingaben!A74</f>
        <v>10</v>
      </c>
      <c r="B17" s="12" t="s">
        <v>123</v>
      </c>
    </row>
    <row r="18" spans="1:4" x14ac:dyDescent="0.2">
      <c r="B18" t="s">
        <v>149</v>
      </c>
      <c r="C18" s="6">
        <v>0.1</v>
      </c>
    </row>
    <row r="19" spans="1:4" x14ac:dyDescent="0.2">
      <c r="B19" t="s">
        <v>150</v>
      </c>
      <c r="C19" s="6">
        <v>0.2</v>
      </c>
    </row>
    <row r="22" spans="1:4" x14ac:dyDescent="0.2">
      <c r="A22" s="15">
        <f>Eingaben!A82</f>
        <v>11</v>
      </c>
      <c r="B22" t="s">
        <v>152</v>
      </c>
      <c r="C22" s="7">
        <v>3</v>
      </c>
    </row>
    <row r="23" spans="1:4" x14ac:dyDescent="0.2">
      <c r="B23" t="s">
        <v>153</v>
      </c>
      <c r="C23" s="7">
        <v>5.9</v>
      </c>
    </row>
    <row r="24" spans="1:4" x14ac:dyDescent="0.2">
      <c r="B24" t="s">
        <v>154</v>
      </c>
      <c r="C24">
        <v>6</v>
      </c>
    </row>
    <row r="25" spans="1:4" x14ac:dyDescent="0.2">
      <c r="B25" t="s">
        <v>155</v>
      </c>
      <c r="C25">
        <v>8</v>
      </c>
    </row>
    <row r="27" spans="1:4" x14ac:dyDescent="0.2">
      <c r="A27" s="14">
        <f>Eingaben!A40</f>
        <v>5.0999999999999996</v>
      </c>
      <c r="B27" s="12" t="s">
        <v>30</v>
      </c>
      <c r="C27" s="17">
        <v>1.5E-3</v>
      </c>
      <c r="D27" s="12" t="s">
        <v>22</v>
      </c>
    </row>
    <row r="28" spans="1:4" x14ac:dyDescent="0.2">
      <c r="B28" t="s">
        <v>31</v>
      </c>
      <c r="C28">
        <v>24</v>
      </c>
    </row>
    <row r="32" spans="1:4" ht="13.5" customHeight="1" x14ac:dyDescent="0.2"/>
    <row r="33" spans="1:6" ht="40.15" customHeight="1" x14ac:dyDescent="0.2">
      <c r="A33" s="15">
        <f>Eingaben!A91</f>
        <v>12.1</v>
      </c>
      <c r="B33" s="104" t="s">
        <v>11</v>
      </c>
      <c r="C33" s="13" t="s">
        <v>42</v>
      </c>
    </row>
    <row r="34" spans="1:6" ht="13.5" customHeight="1" x14ac:dyDescent="0.2">
      <c r="B34" s="20">
        <v>0</v>
      </c>
      <c r="C34" s="20">
        <v>4</v>
      </c>
    </row>
    <row r="35" spans="1:6" ht="13.5" customHeight="1" x14ac:dyDescent="0.2">
      <c r="B35" s="20">
        <v>2500</v>
      </c>
      <c r="C35" s="20">
        <v>5</v>
      </c>
    </row>
    <row r="36" spans="1:6" ht="13.5" customHeight="1" x14ac:dyDescent="0.2">
      <c r="B36" s="20">
        <v>5000</v>
      </c>
      <c r="C36">
        <v>6</v>
      </c>
    </row>
    <row r="37" spans="1:6" ht="13.5" customHeight="1" x14ac:dyDescent="0.2">
      <c r="B37" s="20">
        <v>10000</v>
      </c>
      <c r="C37" s="20">
        <v>7</v>
      </c>
    </row>
    <row r="38" spans="1:6" ht="13.5" customHeight="1" x14ac:dyDescent="0.2">
      <c r="B38" s="20">
        <v>1000000</v>
      </c>
      <c r="C38" s="20">
        <v>8</v>
      </c>
    </row>
    <row r="39" spans="1:6" ht="13.5" customHeight="1" x14ac:dyDescent="0.2">
      <c r="B39" s="13"/>
    </row>
    <row r="40" spans="1:6" x14ac:dyDescent="0.2">
      <c r="A40" s="103"/>
      <c r="B40" s="13"/>
    </row>
    <row r="41" spans="1:6" x14ac:dyDescent="0.2">
      <c r="A41" s="15">
        <v>13.7</v>
      </c>
      <c r="B41" t="s">
        <v>32</v>
      </c>
      <c r="C41">
        <v>1</v>
      </c>
    </row>
    <row r="44" spans="1:6" x14ac:dyDescent="0.2">
      <c r="A44" s="42" t="str">
        <f>Eingaben!A56 &amp; "/" &amp;Eingaben!A59</f>
        <v>8.1/8.4</v>
      </c>
      <c r="B44" s="20" t="s">
        <v>11</v>
      </c>
      <c r="C44" s="20" t="s">
        <v>12</v>
      </c>
      <c r="D44" s="52" t="s">
        <v>13</v>
      </c>
    </row>
    <row r="45" spans="1:6" x14ac:dyDescent="0.2">
      <c r="B45" s="20">
        <v>0</v>
      </c>
      <c r="C45" s="20">
        <v>10</v>
      </c>
      <c r="D45" s="20">
        <v>4</v>
      </c>
    </row>
    <row r="46" spans="1:6" x14ac:dyDescent="0.2">
      <c r="B46" s="20">
        <v>2500</v>
      </c>
      <c r="C46" s="20">
        <v>11</v>
      </c>
      <c r="D46" s="20">
        <v>4</v>
      </c>
    </row>
    <row r="47" spans="1:6" x14ac:dyDescent="0.2">
      <c r="B47" s="20">
        <v>3000</v>
      </c>
      <c r="C47">
        <v>11</v>
      </c>
      <c r="D47" s="20">
        <v>4</v>
      </c>
    </row>
    <row r="48" spans="1:6" x14ac:dyDescent="0.2">
      <c r="B48" s="20">
        <v>3500</v>
      </c>
      <c r="C48" s="20">
        <v>12</v>
      </c>
      <c r="D48" s="20">
        <v>4</v>
      </c>
      <c r="F48" s="20"/>
    </row>
    <row r="49" spans="2:6" x14ac:dyDescent="0.2">
      <c r="B49" s="20">
        <v>4000</v>
      </c>
      <c r="C49" s="20">
        <v>13</v>
      </c>
      <c r="D49" s="20">
        <v>4</v>
      </c>
      <c r="F49" s="20"/>
    </row>
    <row r="50" spans="2:6" x14ac:dyDescent="0.2">
      <c r="B50" s="20">
        <v>4500</v>
      </c>
      <c r="C50" s="20">
        <v>14</v>
      </c>
      <c r="D50" s="20">
        <v>4</v>
      </c>
      <c r="F50" s="20"/>
    </row>
    <row r="51" spans="2:6" x14ac:dyDescent="0.2">
      <c r="B51" s="20">
        <v>5000</v>
      </c>
      <c r="C51" s="20">
        <v>15</v>
      </c>
      <c r="D51" s="20">
        <v>5</v>
      </c>
      <c r="F51" s="20"/>
    </row>
    <row r="52" spans="2:6" x14ac:dyDescent="0.2">
      <c r="B52" s="20">
        <v>6000</v>
      </c>
      <c r="C52" s="20">
        <v>17</v>
      </c>
      <c r="D52" s="20">
        <v>5</v>
      </c>
    </row>
    <row r="53" spans="2:6" x14ac:dyDescent="0.2">
      <c r="B53" s="20">
        <v>7000</v>
      </c>
      <c r="C53" s="20">
        <v>19</v>
      </c>
      <c r="D53" s="20">
        <v>5</v>
      </c>
    </row>
    <row r="54" spans="2:6" x14ac:dyDescent="0.2">
      <c r="B54" s="20">
        <v>8000</v>
      </c>
      <c r="C54" s="20">
        <v>21</v>
      </c>
      <c r="D54" s="20">
        <v>5</v>
      </c>
    </row>
    <row r="55" spans="2:6" x14ac:dyDescent="0.2">
      <c r="B55" s="20">
        <v>9000</v>
      </c>
      <c r="C55" s="20">
        <v>23</v>
      </c>
      <c r="D55" s="20">
        <v>5</v>
      </c>
    </row>
    <row r="56" spans="2:6" x14ac:dyDescent="0.2">
      <c r="B56" s="20">
        <v>10000</v>
      </c>
      <c r="C56" s="20">
        <v>24</v>
      </c>
      <c r="D56" s="20">
        <v>6</v>
      </c>
    </row>
    <row r="57" spans="2:6" x14ac:dyDescent="0.2">
      <c r="B57" s="20">
        <v>11000</v>
      </c>
      <c r="C57" s="20">
        <v>25</v>
      </c>
      <c r="D57" s="20">
        <v>6</v>
      </c>
    </row>
    <row r="58" spans="2:6" x14ac:dyDescent="0.2">
      <c r="B58" s="20">
        <v>12000</v>
      </c>
      <c r="C58" s="20">
        <v>26</v>
      </c>
      <c r="D58" s="20">
        <v>6</v>
      </c>
    </row>
    <row r="59" spans="2:6" x14ac:dyDescent="0.2">
      <c r="B59" s="20">
        <v>13000</v>
      </c>
      <c r="C59" s="20">
        <v>27</v>
      </c>
      <c r="D59" s="20">
        <v>6</v>
      </c>
    </row>
    <row r="60" spans="2:6" x14ac:dyDescent="0.2">
      <c r="B60" s="20">
        <v>14000</v>
      </c>
      <c r="C60" s="20">
        <v>28</v>
      </c>
      <c r="D60" s="20">
        <v>6</v>
      </c>
    </row>
    <row r="61" spans="2:6" x14ac:dyDescent="0.2">
      <c r="B61" s="20">
        <v>15000</v>
      </c>
      <c r="C61" s="20">
        <v>30</v>
      </c>
      <c r="D61" s="20">
        <v>6</v>
      </c>
    </row>
    <row r="62" spans="2:6" x14ac:dyDescent="0.2">
      <c r="B62" s="20">
        <v>16000</v>
      </c>
      <c r="C62" s="20">
        <v>32</v>
      </c>
      <c r="D62" s="20">
        <v>6</v>
      </c>
    </row>
    <row r="63" spans="2:6" x14ac:dyDescent="0.2">
      <c r="B63" s="20">
        <v>17000</v>
      </c>
      <c r="C63" s="20">
        <v>34</v>
      </c>
      <c r="D63" s="20">
        <v>6</v>
      </c>
    </row>
    <row r="64" spans="2:6" x14ac:dyDescent="0.2">
      <c r="B64" s="20">
        <v>18000</v>
      </c>
      <c r="C64" s="20">
        <v>36</v>
      </c>
      <c r="D64" s="20">
        <v>6</v>
      </c>
    </row>
    <row r="65" spans="1:4" x14ac:dyDescent="0.2">
      <c r="B65" s="20">
        <v>19000</v>
      </c>
      <c r="C65" s="20">
        <v>38</v>
      </c>
      <c r="D65" s="20">
        <v>6</v>
      </c>
    </row>
    <row r="66" spans="1:4" x14ac:dyDescent="0.2">
      <c r="B66" s="20">
        <v>20000</v>
      </c>
      <c r="C66" s="20">
        <v>40</v>
      </c>
      <c r="D66" s="20">
        <v>6</v>
      </c>
    </row>
    <row r="75" spans="1:4" x14ac:dyDescent="0.2">
      <c r="A75" s="15">
        <f>Eingaben!A63</f>
        <v>8.8000000000000007</v>
      </c>
      <c r="B75" s="21" t="s">
        <v>23</v>
      </c>
      <c r="C75" s="12"/>
    </row>
    <row r="76" spans="1:4" x14ac:dyDescent="0.2">
      <c r="B76" s="12" t="s">
        <v>24</v>
      </c>
      <c r="C76" s="12">
        <v>1</v>
      </c>
    </row>
    <row r="77" spans="1:4" x14ac:dyDescent="0.2">
      <c r="B77" s="12" t="s">
        <v>25</v>
      </c>
      <c r="C77" s="12">
        <v>0.6</v>
      </c>
    </row>
    <row r="78" spans="1:4" x14ac:dyDescent="0.2">
      <c r="B78" s="12" t="s">
        <v>109</v>
      </c>
      <c r="C78" s="12">
        <v>10</v>
      </c>
    </row>
    <row r="85" spans="1:4" x14ac:dyDescent="0.2">
      <c r="A85" s="15">
        <f>Eingaben!A46</f>
        <v>6.1</v>
      </c>
      <c r="B85" s="18" t="s">
        <v>33</v>
      </c>
      <c r="C85">
        <v>3000</v>
      </c>
      <c r="D85" t="s">
        <v>34</v>
      </c>
    </row>
    <row r="91" spans="1:4" x14ac:dyDescent="0.2">
      <c r="A91" s="15">
        <f>Eingaben!A22</f>
        <v>2.1</v>
      </c>
      <c r="B91" t="s">
        <v>0</v>
      </c>
      <c r="C91">
        <v>0.15</v>
      </c>
    </row>
    <row r="92" spans="1:4" x14ac:dyDescent="0.2">
      <c r="C92" s="18"/>
      <c r="D92" s="18"/>
    </row>
    <row r="93" spans="1:4" x14ac:dyDescent="0.2">
      <c r="A93" s="15">
        <v>2.4</v>
      </c>
      <c r="B93" t="s">
        <v>85</v>
      </c>
      <c r="C93" s="88">
        <v>50</v>
      </c>
      <c r="D93" s="88"/>
    </row>
    <row r="95" spans="1:4" x14ac:dyDescent="0.2">
      <c r="A95" s="15">
        <v>2.5</v>
      </c>
      <c r="B95" t="s">
        <v>86</v>
      </c>
      <c r="C95">
        <v>10</v>
      </c>
      <c r="D95" t="s">
        <v>87</v>
      </c>
    </row>
    <row r="99" spans="1:4" x14ac:dyDescent="0.2">
      <c r="A99" s="15">
        <f>Eingaben!A16</f>
        <v>1</v>
      </c>
      <c r="B99" t="s">
        <v>50</v>
      </c>
      <c r="C99">
        <v>0.2</v>
      </c>
      <c r="D99" t="s">
        <v>52</v>
      </c>
    </row>
    <row r="102" spans="1:4" x14ac:dyDescent="0.2">
      <c r="C102" s="18" t="s">
        <v>84</v>
      </c>
      <c r="D102" s="18" t="s">
        <v>83</v>
      </c>
    </row>
    <row r="103" spans="1:4" x14ac:dyDescent="0.2">
      <c r="A103" s="15">
        <v>16.100000000000001</v>
      </c>
      <c r="B103" t="s">
        <v>82</v>
      </c>
      <c r="C103" s="6">
        <v>0.5</v>
      </c>
      <c r="D103" s="6">
        <v>0.65</v>
      </c>
    </row>
    <row r="104" spans="1:4" x14ac:dyDescent="0.2">
      <c r="A104" s="15">
        <v>16.2</v>
      </c>
      <c r="B104" t="s">
        <v>72</v>
      </c>
      <c r="C104" s="6">
        <v>0.15</v>
      </c>
      <c r="D104" s="6">
        <v>0.2</v>
      </c>
    </row>
    <row r="105" spans="1:4" x14ac:dyDescent="0.2">
      <c r="A105" s="15">
        <v>16.3</v>
      </c>
      <c r="B105" t="s">
        <v>73</v>
      </c>
      <c r="C105" s="6">
        <v>0.1</v>
      </c>
      <c r="D105" s="6">
        <v>0.15</v>
      </c>
    </row>
    <row r="106" spans="1:4" x14ac:dyDescent="0.2">
      <c r="A106" s="15">
        <v>16.399999999999999</v>
      </c>
      <c r="B106" t="s">
        <v>143</v>
      </c>
      <c r="C106" s="6">
        <v>0.05</v>
      </c>
      <c r="D106" s="6">
        <v>0.1</v>
      </c>
    </row>
    <row r="107" spans="1:4" x14ac:dyDescent="0.2">
      <c r="A107" s="15">
        <v>16.5</v>
      </c>
      <c r="B107" t="s">
        <v>147</v>
      </c>
      <c r="C107" s="6">
        <v>0.1</v>
      </c>
      <c r="D107" s="6">
        <v>0.15</v>
      </c>
    </row>
    <row r="109" spans="1:4" x14ac:dyDescent="0.2">
      <c r="A109" s="15">
        <f>Eingaben!A116</f>
        <v>16.5</v>
      </c>
      <c r="B109" t="s">
        <v>76</v>
      </c>
      <c r="C109">
        <v>75</v>
      </c>
    </row>
    <row r="110" spans="1:4" x14ac:dyDescent="0.2">
      <c r="B110" t="s">
        <v>77</v>
      </c>
      <c r="C110">
        <v>30</v>
      </c>
    </row>
    <row r="111" spans="1:4" x14ac:dyDescent="0.2">
      <c r="B111" t="s">
        <v>132</v>
      </c>
      <c r="C111">
        <v>3000</v>
      </c>
    </row>
  </sheetData>
  <sheetProtection selectLockedCells="1"/>
  <phoneticPr fontId="6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outlinePr summaryBelow="0"/>
  </sheetPr>
  <dimension ref="A1:K750"/>
  <sheetViews>
    <sheetView zoomScale="50" workbookViewId="0"/>
  </sheetViews>
  <sheetFormatPr baseColWidth="10" defaultRowHeight="12.75" outlineLevelRow="1" x14ac:dyDescent="0.2"/>
  <cols>
    <col min="1" max="1" width="40.7109375" customWidth="1"/>
    <col min="2" max="2" width="17.28515625" customWidth="1"/>
    <col min="3" max="3" width="13.42578125" customWidth="1"/>
    <col min="4" max="4" width="38.7109375" customWidth="1"/>
    <col min="5" max="5" width="12.42578125" style="4" customWidth="1"/>
    <col min="6" max="6" width="14.28515625" customWidth="1"/>
  </cols>
  <sheetData>
    <row r="1" spans="1:6" ht="25.5" customHeight="1" x14ac:dyDescent="0.2">
      <c r="E1" s="3" t="s">
        <v>6</v>
      </c>
      <c r="F1" s="3" t="s">
        <v>38</v>
      </c>
    </row>
    <row r="2" spans="1:6" ht="12.75" customHeight="1" collapsed="1" x14ac:dyDescent="0.2">
      <c r="A2" s="40" t="str">
        <f>Eingaben!B16</f>
        <v>Kundschaft (Norm: 20% der Bevölkerung)</v>
      </c>
      <c r="E2" s="4">
        <v>12</v>
      </c>
      <c r="F2" s="41">
        <f>E2/$E$750*100</f>
        <v>10.256410256410255</v>
      </c>
    </row>
    <row r="3" spans="1:6" ht="26.25" hidden="1" customHeight="1" outlineLevel="1" x14ac:dyDescent="0.2">
      <c r="A3" s="11" t="str">
        <f>Eingaben!B19</f>
        <v>Bestand an aktiven Kundinnen und Kunden in Prozent des Sollwertes</v>
      </c>
      <c r="B3" s="2" t="s">
        <v>7</v>
      </c>
      <c r="F3" s="41">
        <f t="shared" ref="F3:F66" si="0">E3/$E$750*100</f>
        <v>0</v>
      </c>
    </row>
    <row r="4" spans="1:6" ht="12.75" hidden="1" customHeight="1" outlineLevel="1" x14ac:dyDescent="0.2">
      <c r="A4" s="5">
        <v>0</v>
      </c>
      <c r="B4" s="5">
        <v>0</v>
      </c>
      <c r="F4" s="41">
        <f t="shared" si="0"/>
        <v>0</v>
      </c>
    </row>
    <row r="5" spans="1:6" ht="12.75" hidden="1" customHeight="1" outlineLevel="1" x14ac:dyDescent="0.2">
      <c r="A5" s="5">
        <v>0.05</v>
      </c>
      <c r="B5" s="5">
        <v>0.1</v>
      </c>
      <c r="F5" s="41">
        <f t="shared" si="0"/>
        <v>0</v>
      </c>
    </row>
    <row r="6" spans="1:6" ht="12.75" hidden="1" customHeight="1" outlineLevel="1" x14ac:dyDescent="0.2">
      <c r="A6" s="5">
        <v>0.15</v>
      </c>
      <c r="B6" s="5">
        <v>0.2</v>
      </c>
      <c r="F6" s="41">
        <f t="shared" si="0"/>
        <v>0</v>
      </c>
    </row>
    <row r="7" spans="1:6" ht="12.75" hidden="1" customHeight="1" outlineLevel="1" x14ac:dyDescent="0.2">
      <c r="A7" s="5">
        <v>0.25</v>
      </c>
      <c r="B7" s="5">
        <v>0.3</v>
      </c>
      <c r="F7" s="41">
        <f t="shared" si="0"/>
        <v>0</v>
      </c>
    </row>
    <row r="8" spans="1:6" ht="12.75" hidden="1" customHeight="1" outlineLevel="1" x14ac:dyDescent="0.2">
      <c r="A8" s="5">
        <v>0.35</v>
      </c>
      <c r="B8" s="5">
        <v>0.4</v>
      </c>
      <c r="F8" s="41">
        <f t="shared" si="0"/>
        <v>0</v>
      </c>
    </row>
    <row r="9" spans="1:6" ht="12.75" hidden="1" customHeight="1" outlineLevel="1" x14ac:dyDescent="0.2">
      <c r="A9" s="5">
        <v>0.45</v>
      </c>
      <c r="B9" s="5">
        <v>0.5</v>
      </c>
      <c r="F9" s="41">
        <f t="shared" si="0"/>
        <v>0</v>
      </c>
    </row>
    <row r="10" spans="1:6" ht="12.75" hidden="1" customHeight="1" outlineLevel="1" x14ac:dyDescent="0.2">
      <c r="A10" s="5">
        <v>0.55000000000000004</v>
      </c>
      <c r="B10" s="5">
        <v>0.6</v>
      </c>
      <c r="F10" s="41">
        <f t="shared" si="0"/>
        <v>0</v>
      </c>
    </row>
    <row r="11" spans="1:6" ht="12.75" hidden="1" customHeight="1" outlineLevel="1" x14ac:dyDescent="0.2">
      <c r="A11" s="5">
        <v>0.65</v>
      </c>
      <c r="B11" s="5">
        <v>0.7</v>
      </c>
      <c r="F11" s="41">
        <f t="shared" si="0"/>
        <v>0</v>
      </c>
    </row>
    <row r="12" spans="1:6" ht="12.75" hidden="1" customHeight="1" outlineLevel="1" x14ac:dyDescent="0.2">
      <c r="A12" s="5">
        <v>0.75</v>
      </c>
      <c r="B12" s="5">
        <v>0.8</v>
      </c>
      <c r="F12" s="41">
        <f t="shared" si="0"/>
        <v>0</v>
      </c>
    </row>
    <row r="13" spans="1:6" ht="12.75" hidden="1" customHeight="1" outlineLevel="1" x14ac:dyDescent="0.2">
      <c r="A13" s="5">
        <v>0.85</v>
      </c>
      <c r="B13" s="5">
        <v>0.9</v>
      </c>
      <c r="F13" s="41">
        <f t="shared" si="0"/>
        <v>0</v>
      </c>
    </row>
    <row r="14" spans="1:6" ht="12.75" hidden="1" customHeight="1" outlineLevel="1" x14ac:dyDescent="0.2">
      <c r="A14" s="5">
        <v>0.95</v>
      </c>
      <c r="B14" s="5">
        <v>1</v>
      </c>
      <c r="F14" s="41">
        <f t="shared" si="0"/>
        <v>0</v>
      </c>
    </row>
    <row r="15" spans="1:6" ht="12.75" hidden="1" customHeight="1" outlineLevel="1" x14ac:dyDescent="0.2">
      <c r="A15" s="5">
        <v>1</v>
      </c>
      <c r="B15" s="5">
        <v>1</v>
      </c>
      <c r="F15" s="41">
        <f t="shared" si="0"/>
        <v>0</v>
      </c>
    </row>
    <row r="16" spans="1:6" ht="12.75" hidden="1" customHeight="1" outlineLevel="1" x14ac:dyDescent="0.2">
      <c r="F16" s="41">
        <f t="shared" si="0"/>
        <v>0</v>
      </c>
    </row>
    <row r="17" spans="1:6" ht="12.75" hidden="1" customHeight="1" outlineLevel="1" x14ac:dyDescent="0.2">
      <c r="F17" s="41">
        <f t="shared" si="0"/>
        <v>0</v>
      </c>
    </row>
    <row r="18" spans="1:6" ht="12.75" hidden="1" customHeight="1" outlineLevel="1" x14ac:dyDescent="0.2">
      <c r="F18" s="41">
        <f t="shared" si="0"/>
        <v>0</v>
      </c>
    </row>
    <row r="19" spans="1:6" ht="12.75" hidden="1" customHeight="1" outlineLevel="1" x14ac:dyDescent="0.2">
      <c r="F19" s="41">
        <f t="shared" si="0"/>
        <v>0</v>
      </c>
    </row>
    <row r="20" spans="1:6" ht="12.75" hidden="1" customHeight="1" outlineLevel="1" x14ac:dyDescent="0.2">
      <c r="F20" s="41">
        <f t="shared" si="0"/>
        <v>0</v>
      </c>
    </row>
    <row r="21" spans="1:6" ht="12.75" hidden="1" customHeight="1" outlineLevel="1" x14ac:dyDescent="0.2">
      <c r="F21" s="41">
        <f t="shared" si="0"/>
        <v>0</v>
      </c>
    </row>
    <row r="22" spans="1:6" ht="12.75" hidden="1" customHeight="1" outlineLevel="1" x14ac:dyDescent="0.2">
      <c r="F22" s="41">
        <f t="shared" si="0"/>
        <v>0</v>
      </c>
    </row>
    <row r="23" spans="1:6" ht="12.75" hidden="1" customHeight="1" outlineLevel="1" x14ac:dyDescent="0.2">
      <c r="F23" s="41">
        <f t="shared" si="0"/>
        <v>0</v>
      </c>
    </row>
    <row r="24" spans="1:6" ht="12.75" hidden="1" customHeight="1" outlineLevel="1" x14ac:dyDescent="0.2">
      <c r="F24" s="41">
        <f t="shared" si="0"/>
        <v>0</v>
      </c>
    </row>
    <row r="25" spans="1:6" ht="13.5" customHeight="1" collapsed="1" x14ac:dyDescent="0.2">
      <c r="A25" s="172" t="str">
        <f>Eingaben!B68</f>
        <v>Medienbestand (Norm: 1.5 Medien pro Einwohner / 12 Medien pro Schüler)</v>
      </c>
      <c r="B25" s="172"/>
      <c r="C25" s="172"/>
      <c r="D25" s="172"/>
      <c r="E25" s="4">
        <v>12</v>
      </c>
      <c r="F25" s="41">
        <f t="shared" si="0"/>
        <v>10.256410256410255</v>
      </c>
    </row>
    <row r="26" spans="1:6" ht="25.5" hidden="1" customHeight="1" outlineLevel="1" x14ac:dyDescent="0.2">
      <c r="A26" s="11" t="str">
        <f>Eingaben!B72</f>
        <v>Gesamtbestand (Printmedien, Zeitschriftenabonnemente und Nonbooks: ) in Prozent des Sollbestands</v>
      </c>
      <c r="B26" s="2" t="s">
        <v>7</v>
      </c>
      <c r="F26" s="41">
        <f t="shared" si="0"/>
        <v>0</v>
      </c>
    </row>
    <row r="27" spans="1:6" ht="12.75" hidden="1" customHeight="1" outlineLevel="1" x14ac:dyDescent="0.2">
      <c r="A27" s="5">
        <v>0</v>
      </c>
      <c r="B27" s="5">
        <v>0</v>
      </c>
      <c r="F27" s="41">
        <f t="shared" si="0"/>
        <v>0</v>
      </c>
    </row>
    <row r="28" spans="1:6" ht="12.75" hidden="1" customHeight="1" outlineLevel="1" x14ac:dyDescent="0.2">
      <c r="A28" s="5">
        <v>0.05</v>
      </c>
      <c r="B28" s="5">
        <v>0.1</v>
      </c>
      <c r="F28" s="41">
        <f t="shared" si="0"/>
        <v>0</v>
      </c>
    </row>
    <row r="29" spans="1:6" ht="12.75" hidden="1" customHeight="1" outlineLevel="1" x14ac:dyDescent="0.2">
      <c r="A29" s="5">
        <v>0.15</v>
      </c>
      <c r="B29" s="5">
        <v>0.2</v>
      </c>
      <c r="F29" s="41">
        <f t="shared" si="0"/>
        <v>0</v>
      </c>
    </row>
    <row r="30" spans="1:6" ht="12.75" hidden="1" customHeight="1" outlineLevel="1" x14ac:dyDescent="0.2">
      <c r="A30" s="5">
        <v>0.25</v>
      </c>
      <c r="B30" s="5">
        <v>0.3</v>
      </c>
      <c r="F30" s="41">
        <f t="shared" si="0"/>
        <v>0</v>
      </c>
    </row>
    <row r="31" spans="1:6" ht="12.75" hidden="1" customHeight="1" outlineLevel="1" x14ac:dyDescent="0.2">
      <c r="A31" s="5">
        <v>0.35</v>
      </c>
      <c r="B31" s="5">
        <v>0.4</v>
      </c>
      <c r="F31" s="41">
        <f t="shared" si="0"/>
        <v>0</v>
      </c>
    </row>
    <row r="32" spans="1:6" ht="12.75" hidden="1" customHeight="1" outlineLevel="1" x14ac:dyDescent="0.2">
      <c r="A32" s="5">
        <v>0.45</v>
      </c>
      <c r="B32" s="5">
        <v>0.5</v>
      </c>
      <c r="F32" s="41">
        <f t="shared" si="0"/>
        <v>0</v>
      </c>
    </row>
    <row r="33" spans="1:6" ht="12.75" hidden="1" customHeight="1" outlineLevel="1" x14ac:dyDescent="0.2">
      <c r="A33" s="5">
        <v>0.55000000000000004</v>
      </c>
      <c r="B33" s="5">
        <v>0.6</v>
      </c>
      <c r="F33" s="41">
        <f t="shared" si="0"/>
        <v>0</v>
      </c>
    </row>
    <row r="34" spans="1:6" ht="12.75" hidden="1" customHeight="1" outlineLevel="1" x14ac:dyDescent="0.2">
      <c r="A34" s="5">
        <v>0.65</v>
      </c>
      <c r="B34" s="5">
        <v>0.7</v>
      </c>
      <c r="F34" s="41">
        <f t="shared" si="0"/>
        <v>0</v>
      </c>
    </row>
    <row r="35" spans="1:6" ht="12.75" hidden="1" customHeight="1" outlineLevel="1" x14ac:dyDescent="0.2">
      <c r="A35" s="5">
        <v>0.75</v>
      </c>
      <c r="B35" s="5">
        <v>0.8</v>
      </c>
      <c r="F35" s="41">
        <f t="shared" si="0"/>
        <v>0</v>
      </c>
    </row>
    <row r="36" spans="1:6" ht="12.75" hidden="1" customHeight="1" outlineLevel="1" x14ac:dyDescent="0.2">
      <c r="A36" s="5">
        <v>0.85</v>
      </c>
      <c r="B36" s="5">
        <v>0.9</v>
      </c>
      <c r="F36" s="41">
        <f t="shared" si="0"/>
        <v>0</v>
      </c>
    </row>
    <row r="37" spans="1:6" ht="12.75" hidden="1" customHeight="1" outlineLevel="1" x14ac:dyDescent="0.2">
      <c r="A37" s="5">
        <v>0.95</v>
      </c>
      <c r="B37" s="5">
        <v>1</v>
      </c>
      <c r="F37" s="41">
        <f t="shared" si="0"/>
        <v>0</v>
      </c>
    </row>
    <row r="38" spans="1:6" ht="12.75" hidden="1" customHeight="1" outlineLevel="1" x14ac:dyDescent="0.2">
      <c r="A38" s="5">
        <v>1.06</v>
      </c>
      <c r="B38" s="5">
        <v>1</v>
      </c>
      <c r="F38" s="41">
        <f t="shared" si="0"/>
        <v>0</v>
      </c>
    </row>
    <row r="39" spans="1:6" ht="12.75" hidden="1" customHeight="1" outlineLevel="1" x14ac:dyDescent="0.2">
      <c r="A39" s="5">
        <v>1.1599999999999999</v>
      </c>
      <c r="B39" s="5">
        <v>1</v>
      </c>
      <c r="F39" s="41">
        <f t="shared" si="0"/>
        <v>0</v>
      </c>
    </row>
    <row r="40" spans="1:6" ht="12.75" hidden="1" customHeight="1" outlineLevel="1" x14ac:dyDescent="0.2">
      <c r="A40" s="5">
        <v>1.26</v>
      </c>
      <c r="B40" s="5">
        <v>1</v>
      </c>
      <c r="F40" s="41">
        <f t="shared" si="0"/>
        <v>0</v>
      </c>
    </row>
    <row r="41" spans="1:6" ht="12.75" hidden="1" customHeight="1" outlineLevel="1" x14ac:dyDescent="0.2">
      <c r="A41" s="5">
        <v>1.36</v>
      </c>
      <c r="B41" s="5">
        <v>1</v>
      </c>
      <c r="F41" s="41">
        <f t="shared" si="0"/>
        <v>0</v>
      </c>
    </row>
    <row r="42" spans="1:6" ht="12.75" hidden="1" customHeight="1" outlineLevel="1" x14ac:dyDescent="0.2">
      <c r="A42" s="5">
        <v>1.46</v>
      </c>
      <c r="B42" s="5">
        <v>1</v>
      </c>
      <c r="F42" s="41">
        <f t="shared" si="0"/>
        <v>0</v>
      </c>
    </row>
    <row r="43" spans="1:6" ht="12.75" hidden="1" customHeight="1" outlineLevel="1" x14ac:dyDescent="0.2">
      <c r="A43" s="5">
        <v>1.56</v>
      </c>
      <c r="B43" s="5">
        <v>1</v>
      </c>
      <c r="F43" s="41">
        <f t="shared" si="0"/>
        <v>0</v>
      </c>
    </row>
    <row r="44" spans="1:6" ht="12.75" hidden="1" customHeight="1" outlineLevel="1" x14ac:dyDescent="0.2">
      <c r="A44" s="5">
        <v>1.66</v>
      </c>
      <c r="B44" s="5">
        <v>1</v>
      </c>
      <c r="F44" s="41">
        <f t="shared" si="0"/>
        <v>0</v>
      </c>
    </row>
    <row r="45" spans="1:6" ht="12.75" hidden="1" customHeight="1" outlineLevel="1" x14ac:dyDescent="0.2">
      <c r="A45" s="5">
        <v>1.76</v>
      </c>
      <c r="B45" s="5">
        <v>1</v>
      </c>
      <c r="F45" s="41">
        <f t="shared" si="0"/>
        <v>0</v>
      </c>
    </row>
    <row r="46" spans="1:6" ht="12.75" hidden="1" customHeight="1" outlineLevel="1" x14ac:dyDescent="0.2">
      <c r="A46" s="5">
        <v>1.86</v>
      </c>
      <c r="B46" s="5">
        <v>1</v>
      </c>
      <c r="F46" s="41">
        <f t="shared" si="0"/>
        <v>0</v>
      </c>
    </row>
    <row r="47" spans="1:6" ht="12.75" hidden="1" customHeight="1" outlineLevel="1" x14ac:dyDescent="0.2">
      <c r="A47" s="5">
        <v>1.96</v>
      </c>
      <c r="B47" s="5">
        <v>1</v>
      </c>
      <c r="F47" s="41">
        <f t="shared" si="0"/>
        <v>0</v>
      </c>
    </row>
    <row r="48" spans="1:6" ht="12.75" hidden="1" customHeight="1" outlineLevel="1" x14ac:dyDescent="0.2">
      <c r="F48" s="41">
        <f t="shared" si="0"/>
        <v>0</v>
      </c>
    </row>
    <row r="49" spans="1:6" ht="12.75" hidden="1" customHeight="1" outlineLevel="1" x14ac:dyDescent="0.2">
      <c r="F49" s="41">
        <f t="shared" si="0"/>
        <v>0</v>
      </c>
    </row>
    <row r="50" spans="1:6" ht="12.75" hidden="1" customHeight="1" outlineLevel="1" x14ac:dyDescent="0.2">
      <c r="F50" s="41">
        <f t="shared" si="0"/>
        <v>0</v>
      </c>
    </row>
    <row r="51" spans="1:6" collapsed="1" x14ac:dyDescent="0.2">
      <c r="A51" s="175" t="str">
        <f>Eingaben!B33</f>
        <v>Publikumsfläche (Norm gemäss Richtlinien für GSB: 30 Quadratmeter pro 1000 Medien)</v>
      </c>
      <c r="B51" s="175"/>
      <c r="C51" s="175"/>
      <c r="D51" s="175"/>
      <c r="E51" s="4">
        <v>6</v>
      </c>
      <c r="F51" s="41">
        <f t="shared" si="0"/>
        <v>5.1282051282051277</v>
      </c>
    </row>
    <row r="52" spans="1:6" ht="25.5" hidden="1" customHeight="1" outlineLevel="1" x14ac:dyDescent="0.2">
      <c r="A52" s="2" t="str">
        <f>Eingaben!B37</f>
        <v>Fläche in Prozent der Soll-Raumgrösse für tatsächlichen Bestand</v>
      </c>
      <c r="B52" s="2" t="s">
        <v>7</v>
      </c>
      <c r="F52" s="41">
        <f t="shared" si="0"/>
        <v>0</v>
      </c>
    </row>
    <row r="53" spans="1:6" hidden="1" outlineLevel="1" x14ac:dyDescent="0.2">
      <c r="A53" s="5">
        <v>0</v>
      </c>
      <c r="B53" s="5">
        <v>0</v>
      </c>
      <c r="F53" s="41">
        <f t="shared" si="0"/>
        <v>0</v>
      </c>
    </row>
    <row r="54" spans="1:6" hidden="1" outlineLevel="1" x14ac:dyDescent="0.2">
      <c r="A54" s="5">
        <v>0.05</v>
      </c>
      <c r="B54" s="5">
        <v>0.1</v>
      </c>
      <c r="F54" s="41">
        <f t="shared" si="0"/>
        <v>0</v>
      </c>
    </row>
    <row r="55" spans="1:6" hidden="1" outlineLevel="1" x14ac:dyDescent="0.2">
      <c r="A55" s="5">
        <v>0.15</v>
      </c>
      <c r="B55" s="5">
        <v>0.2</v>
      </c>
      <c r="F55" s="41">
        <f t="shared" si="0"/>
        <v>0</v>
      </c>
    </row>
    <row r="56" spans="1:6" hidden="1" outlineLevel="1" x14ac:dyDescent="0.2">
      <c r="A56" s="5">
        <v>0.25</v>
      </c>
      <c r="B56" s="5">
        <v>0.3</v>
      </c>
      <c r="F56" s="41">
        <f t="shared" si="0"/>
        <v>0</v>
      </c>
    </row>
    <row r="57" spans="1:6" hidden="1" outlineLevel="1" x14ac:dyDescent="0.2">
      <c r="A57" s="5">
        <v>0.35</v>
      </c>
      <c r="B57" s="5">
        <v>0.4</v>
      </c>
      <c r="F57" s="41">
        <f t="shared" si="0"/>
        <v>0</v>
      </c>
    </row>
    <row r="58" spans="1:6" hidden="1" outlineLevel="1" x14ac:dyDescent="0.2">
      <c r="A58" s="5">
        <v>0.45</v>
      </c>
      <c r="B58" s="5">
        <v>0.5</v>
      </c>
      <c r="F58" s="41">
        <f t="shared" si="0"/>
        <v>0</v>
      </c>
    </row>
    <row r="59" spans="1:6" hidden="1" outlineLevel="1" x14ac:dyDescent="0.2">
      <c r="A59" s="5">
        <v>0.55000000000000004</v>
      </c>
      <c r="B59" s="5">
        <v>0.6</v>
      </c>
      <c r="F59" s="41">
        <f t="shared" si="0"/>
        <v>0</v>
      </c>
    </row>
    <row r="60" spans="1:6" hidden="1" outlineLevel="1" x14ac:dyDescent="0.2">
      <c r="A60" s="5">
        <v>0.65</v>
      </c>
      <c r="B60" s="5">
        <v>0.7</v>
      </c>
      <c r="F60" s="41">
        <f t="shared" si="0"/>
        <v>0</v>
      </c>
    </row>
    <row r="61" spans="1:6" hidden="1" outlineLevel="1" x14ac:dyDescent="0.2">
      <c r="A61" s="5">
        <v>0.75</v>
      </c>
      <c r="B61" s="5">
        <v>0.8</v>
      </c>
      <c r="F61" s="41">
        <f t="shared" si="0"/>
        <v>0</v>
      </c>
    </row>
    <row r="62" spans="1:6" hidden="1" outlineLevel="1" x14ac:dyDescent="0.2">
      <c r="A62" s="5">
        <v>0.85</v>
      </c>
      <c r="B62" s="5">
        <v>0.9</v>
      </c>
      <c r="F62" s="41">
        <f t="shared" si="0"/>
        <v>0</v>
      </c>
    </row>
    <row r="63" spans="1:6" hidden="1" outlineLevel="1" x14ac:dyDescent="0.2">
      <c r="A63" s="5">
        <v>0.95</v>
      </c>
      <c r="B63" s="5">
        <v>1</v>
      </c>
      <c r="F63" s="41">
        <f t="shared" si="0"/>
        <v>0</v>
      </c>
    </row>
    <row r="64" spans="1:6" hidden="1" outlineLevel="1" x14ac:dyDescent="0.2">
      <c r="A64" s="5">
        <v>1.06</v>
      </c>
      <c r="B64" s="5">
        <v>1</v>
      </c>
      <c r="F64" s="41">
        <f t="shared" si="0"/>
        <v>0</v>
      </c>
    </row>
    <row r="65" spans="1:6" hidden="1" outlineLevel="1" x14ac:dyDescent="0.2">
      <c r="A65" s="5">
        <v>1.1599999999999999</v>
      </c>
      <c r="B65" s="5">
        <v>1</v>
      </c>
      <c r="F65" s="41">
        <f t="shared" si="0"/>
        <v>0</v>
      </c>
    </row>
    <row r="66" spans="1:6" hidden="1" outlineLevel="1" x14ac:dyDescent="0.2">
      <c r="A66" s="5">
        <v>1.26</v>
      </c>
      <c r="B66" s="5">
        <v>1</v>
      </c>
      <c r="F66" s="41">
        <f t="shared" si="0"/>
        <v>0</v>
      </c>
    </row>
    <row r="67" spans="1:6" hidden="1" outlineLevel="1" x14ac:dyDescent="0.2">
      <c r="A67" s="5">
        <v>1.36</v>
      </c>
      <c r="B67" s="5">
        <v>1</v>
      </c>
      <c r="F67" s="41">
        <f t="shared" ref="F67:F130" si="1">E67/$E$750*100</f>
        <v>0</v>
      </c>
    </row>
    <row r="68" spans="1:6" hidden="1" outlineLevel="1" x14ac:dyDescent="0.2">
      <c r="A68" s="5">
        <v>1.46</v>
      </c>
      <c r="B68" s="5">
        <v>1</v>
      </c>
      <c r="F68" s="41">
        <f t="shared" si="1"/>
        <v>0</v>
      </c>
    </row>
    <row r="69" spans="1:6" hidden="1" outlineLevel="1" x14ac:dyDescent="0.2">
      <c r="A69" s="5">
        <v>1.56</v>
      </c>
      <c r="B69" s="5">
        <v>1</v>
      </c>
      <c r="F69" s="41">
        <f t="shared" si="1"/>
        <v>0</v>
      </c>
    </row>
    <row r="70" spans="1:6" hidden="1" outlineLevel="1" x14ac:dyDescent="0.2">
      <c r="A70" s="5">
        <v>1.66</v>
      </c>
      <c r="B70" s="5">
        <v>1</v>
      </c>
      <c r="F70" s="41">
        <f t="shared" si="1"/>
        <v>0</v>
      </c>
    </row>
    <row r="71" spans="1:6" hidden="1" outlineLevel="1" x14ac:dyDescent="0.2">
      <c r="A71" s="5">
        <v>1.76</v>
      </c>
      <c r="B71" s="5">
        <v>1</v>
      </c>
      <c r="F71" s="41">
        <f t="shared" si="1"/>
        <v>0</v>
      </c>
    </row>
    <row r="72" spans="1:6" hidden="1" outlineLevel="1" x14ac:dyDescent="0.2">
      <c r="A72" s="5">
        <v>1.86</v>
      </c>
      <c r="B72" s="5">
        <v>1</v>
      </c>
      <c r="F72" s="41">
        <f t="shared" si="1"/>
        <v>0</v>
      </c>
    </row>
    <row r="73" spans="1:6" hidden="1" outlineLevel="1" x14ac:dyDescent="0.2">
      <c r="A73" s="5">
        <v>1.96</v>
      </c>
      <c r="B73" s="5">
        <v>1</v>
      </c>
      <c r="F73" s="41">
        <f t="shared" si="1"/>
        <v>0</v>
      </c>
    </row>
    <row r="74" spans="1:6" hidden="1" outlineLevel="1" x14ac:dyDescent="0.2">
      <c r="F74" s="41">
        <f t="shared" si="1"/>
        <v>0</v>
      </c>
    </row>
    <row r="75" spans="1:6" hidden="1" outlineLevel="1" x14ac:dyDescent="0.2">
      <c r="F75" s="41">
        <f t="shared" si="1"/>
        <v>0</v>
      </c>
    </row>
    <row r="76" spans="1:6" hidden="1" outlineLevel="1" x14ac:dyDescent="0.2">
      <c r="F76" s="41">
        <f t="shared" si="1"/>
        <v>0</v>
      </c>
    </row>
    <row r="77" spans="1:6" hidden="1" outlineLevel="1" x14ac:dyDescent="0.2">
      <c r="F77" s="41">
        <f t="shared" si="1"/>
        <v>0</v>
      </c>
    </row>
    <row r="78" spans="1:6" hidden="1" outlineLevel="1" x14ac:dyDescent="0.2">
      <c r="F78" s="41">
        <f t="shared" si="1"/>
        <v>0</v>
      </c>
    </row>
    <row r="79" spans="1:6" hidden="1" outlineLevel="1" x14ac:dyDescent="0.2">
      <c r="F79" s="41">
        <f t="shared" si="1"/>
        <v>0</v>
      </c>
    </row>
    <row r="80" spans="1:6" hidden="1" outlineLevel="1" x14ac:dyDescent="0.2">
      <c r="F80" s="41">
        <f t="shared" si="1"/>
        <v>0</v>
      </c>
    </row>
    <row r="81" spans="6:6" hidden="1" outlineLevel="1" x14ac:dyDescent="0.2">
      <c r="F81" s="41">
        <f t="shared" si="1"/>
        <v>0</v>
      </c>
    </row>
    <row r="82" spans="6:6" hidden="1" outlineLevel="1" x14ac:dyDescent="0.2">
      <c r="F82" s="41">
        <f t="shared" si="1"/>
        <v>0</v>
      </c>
    </row>
    <row r="83" spans="6:6" hidden="1" outlineLevel="1" x14ac:dyDescent="0.2">
      <c r="F83" s="41">
        <f t="shared" si="1"/>
        <v>0</v>
      </c>
    </row>
    <row r="84" spans="6:6" hidden="1" outlineLevel="1" x14ac:dyDescent="0.2">
      <c r="F84" s="41">
        <f t="shared" si="1"/>
        <v>0</v>
      </c>
    </row>
    <row r="85" spans="6:6" hidden="1" outlineLevel="1" x14ac:dyDescent="0.2">
      <c r="F85" s="41">
        <f t="shared" si="1"/>
        <v>0</v>
      </c>
    </row>
    <row r="86" spans="6:6" hidden="1" outlineLevel="1" x14ac:dyDescent="0.2">
      <c r="F86" s="41">
        <f t="shared" si="1"/>
        <v>0</v>
      </c>
    </row>
    <row r="87" spans="6:6" hidden="1" outlineLevel="1" x14ac:dyDescent="0.2">
      <c r="F87" s="41">
        <f t="shared" si="1"/>
        <v>0</v>
      </c>
    </row>
    <row r="88" spans="6:6" hidden="1" outlineLevel="1" x14ac:dyDescent="0.2">
      <c r="F88" s="41">
        <f t="shared" si="1"/>
        <v>0</v>
      </c>
    </row>
    <row r="89" spans="6:6" hidden="1" outlineLevel="1" x14ac:dyDescent="0.2">
      <c r="F89" s="41">
        <f t="shared" si="1"/>
        <v>0</v>
      </c>
    </row>
    <row r="90" spans="6:6" hidden="1" outlineLevel="1" x14ac:dyDescent="0.2">
      <c r="F90" s="41">
        <f t="shared" si="1"/>
        <v>0</v>
      </c>
    </row>
    <row r="91" spans="6:6" hidden="1" outlineLevel="1" x14ac:dyDescent="0.2">
      <c r="F91" s="41">
        <f t="shared" si="1"/>
        <v>0</v>
      </c>
    </row>
    <row r="92" spans="6:6" hidden="1" outlineLevel="1" x14ac:dyDescent="0.2">
      <c r="F92" s="41">
        <f t="shared" si="1"/>
        <v>0</v>
      </c>
    </row>
    <row r="93" spans="6:6" hidden="1" outlineLevel="1" x14ac:dyDescent="0.2">
      <c r="F93" s="41">
        <f t="shared" si="1"/>
        <v>0</v>
      </c>
    </row>
    <row r="94" spans="6:6" hidden="1" outlineLevel="1" x14ac:dyDescent="0.2">
      <c r="F94" s="41">
        <f t="shared" si="1"/>
        <v>0</v>
      </c>
    </row>
    <row r="95" spans="6:6" hidden="1" outlineLevel="1" x14ac:dyDescent="0.2">
      <c r="F95" s="41">
        <f t="shared" si="1"/>
        <v>0</v>
      </c>
    </row>
    <row r="96" spans="6:6" hidden="1" outlineLevel="1" x14ac:dyDescent="0.2">
      <c r="F96" s="41">
        <f t="shared" si="1"/>
        <v>0</v>
      </c>
    </row>
    <row r="97" spans="1:6" hidden="1" outlineLevel="1" x14ac:dyDescent="0.2">
      <c r="F97" s="41">
        <f t="shared" si="1"/>
        <v>0</v>
      </c>
    </row>
    <row r="98" spans="1:6" hidden="1" outlineLevel="1" x14ac:dyDescent="0.2">
      <c r="F98" s="41">
        <f t="shared" si="1"/>
        <v>0</v>
      </c>
    </row>
    <row r="99" spans="1:6" hidden="1" outlineLevel="1" x14ac:dyDescent="0.2">
      <c r="F99" s="41">
        <f t="shared" si="1"/>
        <v>0</v>
      </c>
    </row>
    <row r="100" spans="1:6" hidden="1" outlineLevel="1" x14ac:dyDescent="0.2">
      <c r="F100" s="41">
        <f t="shared" si="1"/>
        <v>0</v>
      </c>
    </row>
    <row r="101" spans="1:6" collapsed="1" x14ac:dyDescent="0.2">
      <c r="A101" s="173" t="str">
        <f>Eingaben!B74</f>
        <v>Bestandeserneuerung pro Jahr</v>
      </c>
      <c r="B101" s="173"/>
      <c r="C101" s="173"/>
      <c r="D101" s="173"/>
      <c r="E101" s="4">
        <v>12</v>
      </c>
      <c r="F101" s="41">
        <f t="shared" si="1"/>
        <v>10.256410256410255</v>
      </c>
    </row>
    <row r="102" spans="1:6" ht="25.9" hidden="1" customHeight="1" outlineLevel="1" x14ac:dyDescent="0.2">
      <c r="A102" s="2" t="s">
        <v>160</v>
      </c>
      <c r="B102" s="2" t="s">
        <v>7</v>
      </c>
      <c r="F102" s="41">
        <f t="shared" si="1"/>
        <v>0</v>
      </c>
    </row>
    <row r="103" spans="1:6" hidden="1" outlineLevel="1" x14ac:dyDescent="0.2">
      <c r="A103" s="5">
        <v>0</v>
      </c>
      <c r="B103" s="5">
        <v>1</v>
      </c>
      <c r="F103" s="41">
        <f t="shared" si="1"/>
        <v>0</v>
      </c>
    </row>
    <row r="104" spans="1:6" hidden="1" outlineLevel="1" x14ac:dyDescent="0.2">
      <c r="A104" s="5">
        <v>0.1</v>
      </c>
      <c r="B104" s="5">
        <v>0.95</v>
      </c>
      <c r="F104" s="41">
        <f t="shared" si="1"/>
        <v>0</v>
      </c>
    </row>
    <row r="105" spans="1:6" hidden="1" outlineLevel="1" x14ac:dyDescent="0.2">
      <c r="A105" s="5">
        <v>0.2</v>
      </c>
      <c r="B105" s="5">
        <v>0.9</v>
      </c>
      <c r="F105" s="41">
        <f t="shared" si="1"/>
        <v>0</v>
      </c>
    </row>
    <row r="106" spans="1:6" hidden="1" outlineLevel="1" x14ac:dyDescent="0.2">
      <c r="A106" s="5">
        <v>0.3</v>
      </c>
      <c r="B106" s="5">
        <v>0.85</v>
      </c>
      <c r="F106" s="41">
        <f t="shared" si="1"/>
        <v>0</v>
      </c>
    </row>
    <row r="107" spans="1:6" hidden="1" outlineLevel="1" x14ac:dyDescent="0.2">
      <c r="A107" s="5">
        <v>0.4</v>
      </c>
      <c r="B107" s="5">
        <v>0.8</v>
      </c>
      <c r="F107" s="41">
        <f t="shared" si="1"/>
        <v>0</v>
      </c>
    </row>
    <row r="108" spans="1:6" hidden="1" outlineLevel="1" x14ac:dyDescent="0.2">
      <c r="A108" s="5">
        <v>0.5</v>
      </c>
      <c r="B108" s="5">
        <v>0.75</v>
      </c>
      <c r="F108" s="41">
        <f t="shared" si="1"/>
        <v>0</v>
      </c>
    </row>
    <row r="109" spans="1:6" hidden="1" outlineLevel="1" x14ac:dyDescent="0.2">
      <c r="A109" s="5">
        <v>0.6</v>
      </c>
      <c r="B109" s="5">
        <v>0.6</v>
      </c>
      <c r="F109" s="41">
        <f t="shared" si="1"/>
        <v>0</v>
      </c>
    </row>
    <row r="110" spans="1:6" hidden="1" outlineLevel="1" x14ac:dyDescent="0.2">
      <c r="A110" s="5">
        <v>0.7</v>
      </c>
      <c r="B110" s="5">
        <v>0.45</v>
      </c>
      <c r="F110" s="41">
        <f t="shared" si="1"/>
        <v>0</v>
      </c>
    </row>
    <row r="111" spans="1:6" hidden="1" outlineLevel="1" x14ac:dyDescent="0.2">
      <c r="A111" s="5">
        <v>0.8</v>
      </c>
      <c r="B111" s="5">
        <v>0.3</v>
      </c>
      <c r="F111" s="41">
        <f t="shared" si="1"/>
        <v>0</v>
      </c>
    </row>
    <row r="112" spans="1:6" hidden="1" outlineLevel="1" x14ac:dyDescent="0.2">
      <c r="A112" s="5">
        <v>0.9</v>
      </c>
      <c r="B112" s="5">
        <v>0.15</v>
      </c>
      <c r="F112" s="41">
        <f t="shared" si="1"/>
        <v>0</v>
      </c>
    </row>
    <row r="113" spans="1:6" hidden="1" outlineLevel="1" x14ac:dyDescent="0.2">
      <c r="A113" s="5">
        <v>0.95</v>
      </c>
      <c r="B113" s="5">
        <v>0</v>
      </c>
      <c r="F113" s="41">
        <f t="shared" si="1"/>
        <v>0</v>
      </c>
    </row>
    <row r="114" spans="1:6" hidden="1" outlineLevel="1" x14ac:dyDescent="0.2">
      <c r="A114" s="5"/>
      <c r="B114" s="5"/>
      <c r="F114" s="41">
        <f t="shared" si="1"/>
        <v>0</v>
      </c>
    </row>
    <row r="115" spans="1:6" hidden="1" outlineLevel="1" x14ac:dyDescent="0.2">
      <c r="A115" s="5"/>
      <c r="B115" s="5"/>
      <c r="F115" s="41">
        <f t="shared" si="1"/>
        <v>0</v>
      </c>
    </row>
    <row r="116" spans="1:6" hidden="1" outlineLevel="1" x14ac:dyDescent="0.2">
      <c r="A116" s="5"/>
      <c r="B116" s="5"/>
      <c r="F116" s="41">
        <f t="shared" si="1"/>
        <v>0</v>
      </c>
    </row>
    <row r="117" spans="1:6" hidden="1" outlineLevel="1" x14ac:dyDescent="0.2">
      <c r="A117" s="5"/>
      <c r="B117" s="5"/>
      <c r="F117" s="41">
        <f t="shared" si="1"/>
        <v>0</v>
      </c>
    </row>
    <row r="118" spans="1:6" hidden="1" outlineLevel="1" x14ac:dyDescent="0.2">
      <c r="A118" s="5"/>
      <c r="B118" s="5"/>
      <c r="D118" s="6"/>
      <c r="F118" s="41">
        <f t="shared" si="1"/>
        <v>0</v>
      </c>
    </row>
    <row r="119" spans="1:6" hidden="1" outlineLevel="1" x14ac:dyDescent="0.2">
      <c r="A119" s="5"/>
      <c r="B119" s="5"/>
      <c r="F119" s="41">
        <f t="shared" si="1"/>
        <v>0</v>
      </c>
    </row>
    <row r="120" spans="1:6" hidden="1" outlineLevel="1" x14ac:dyDescent="0.2">
      <c r="A120" s="5"/>
      <c r="B120" s="5"/>
      <c r="F120" s="41">
        <f t="shared" si="1"/>
        <v>0</v>
      </c>
    </row>
    <row r="121" spans="1:6" hidden="1" outlineLevel="1" x14ac:dyDescent="0.2">
      <c r="A121" s="5"/>
      <c r="B121" s="5"/>
      <c r="F121" s="41">
        <f t="shared" si="1"/>
        <v>0</v>
      </c>
    </row>
    <row r="122" spans="1:6" hidden="1" outlineLevel="1" x14ac:dyDescent="0.2">
      <c r="A122" s="5"/>
      <c r="B122" s="5"/>
      <c r="F122" s="41">
        <f t="shared" si="1"/>
        <v>0</v>
      </c>
    </row>
    <row r="123" spans="1:6" hidden="1" outlineLevel="1" x14ac:dyDescent="0.2">
      <c r="A123" s="5"/>
      <c r="B123" s="5"/>
      <c r="F123" s="41">
        <f t="shared" si="1"/>
        <v>0</v>
      </c>
    </row>
    <row r="124" spans="1:6" hidden="1" outlineLevel="1" x14ac:dyDescent="0.2">
      <c r="F124" s="41">
        <f t="shared" si="1"/>
        <v>0</v>
      </c>
    </row>
    <row r="125" spans="1:6" hidden="1" outlineLevel="1" x14ac:dyDescent="0.2">
      <c r="F125" s="41">
        <f t="shared" si="1"/>
        <v>0</v>
      </c>
    </row>
    <row r="126" spans="1:6" hidden="1" outlineLevel="1" x14ac:dyDescent="0.2">
      <c r="F126" s="41">
        <f t="shared" si="1"/>
        <v>0</v>
      </c>
    </row>
    <row r="127" spans="1:6" hidden="1" outlineLevel="1" x14ac:dyDescent="0.2">
      <c r="F127" s="41">
        <f t="shared" si="1"/>
        <v>0</v>
      </c>
    </row>
    <row r="128" spans="1:6" hidden="1" outlineLevel="1" x14ac:dyDescent="0.2">
      <c r="F128" s="41">
        <f t="shared" si="1"/>
        <v>0</v>
      </c>
    </row>
    <row r="129" spans="6:6" hidden="1" outlineLevel="1" x14ac:dyDescent="0.2">
      <c r="F129" s="41">
        <f t="shared" si="1"/>
        <v>0</v>
      </c>
    </row>
    <row r="130" spans="6:6" hidden="1" outlineLevel="1" x14ac:dyDescent="0.2">
      <c r="F130" s="41">
        <f t="shared" si="1"/>
        <v>0</v>
      </c>
    </row>
    <row r="131" spans="6:6" hidden="1" outlineLevel="1" x14ac:dyDescent="0.2">
      <c r="F131" s="41">
        <f t="shared" ref="F131:F194" si="2">E131/$E$750*100</f>
        <v>0</v>
      </c>
    </row>
    <row r="132" spans="6:6" hidden="1" outlineLevel="1" x14ac:dyDescent="0.2">
      <c r="F132" s="41">
        <f t="shared" si="2"/>
        <v>0</v>
      </c>
    </row>
    <row r="133" spans="6:6" hidden="1" outlineLevel="1" x14ac:dyDescent="0.2">
      <c r="F133" s="41">
        <f t="shared" si="2"/>
        <v>0</v>
      </c>
    </row>
    <row r="134" spans="6:6" hidden="1" outlineLevel="1" x14ac:dyDescent="0.2">
      <c r="F134" s="41">
        <f t="shared" si="2"/>
        <v>0</v>
      </c>
    </row>
    <row r="135" spans="6:6" hidden="1" outlineLevel="1" x14ac:dyDescent="0.2">
      <c r="F135" s="41">
        <f t="shared" si="2"/>
        <v>0</v>
      </c>
    </row>
    <row r="136" spans="6:6" hidden="1" outlineLevel="1" x14ac:dyDescent="0.2">
      <c r="F136" s="41">
        <f t="shared" si="2"/>
        <v>0</v>
      </c>
    </row>
    <row r="137" spans="6:6" hidden="1" outlineLevel="1" x14ac:dyDescent="0.2">
      <c r="F137" s="41">
        <f t="shared" si="2"/>
        <v>0</v>
      </c>
    </row>
    <row r="138" spans="6:6" hidden="1" outlineLevel="1" x14ac:dyDescent="0.2">
      <c r="F138" s="41">
        <f t="shared" si="2"/>
        <v>0</v>
      </c>
    </row>
    <row r="139" spans="6:6" hidden="1" outlineLevel="1" x14ac:dyDescent="0.2">
      <c r="F139" s="41">
        <f t="shared" si="2"/>
        <v>0</v>
      </c>
    </row>
    <row r="140" spans="6:6" hidden="1" outlineLevel="1" x14ac:dyDescent="0.2">
      <c r="F140" s="41">
        <f t="shared" si="2"/>
        <v>0</v>
      </c>
    </row>
    <row r="141" spans="6:6" hidden="1" outlineLevel="1" x14ac:dyDescent="0.2">
      <c r="F141" s="41">
        <f t="shared" si="2"/>
        <v>0</v>
      </c>
    </row>
    <row r="142" spans="6:6" hidden="1" outlineLevel="1" x14ac:dyDescent="0.2">
      <c r="F142" s="41">
        <f t="shared" si="2"/>
        <v>0</v>
      </c>
    </row>
    <row r="143" spans="6:6" hidden="1" outlineLevel="1" x14ac:dyDescent="0.2">
      <c r="F143" s="41">
        <f t="shared" si="2"/>
        <v>0</v>
      </c>
    </row>
    <row r="144" spans="6:6" hidden="1" outlineLevel="1" x14ac:dyDescent="0.2">
      <c r="F144" s="41">
        <f t="shared" si="2"/>
        <v>0</v>
      </c>
    </row>
    <row r="145" spans="1:11" hidden="1" outlineLevel="1" x14ac:dyDescent="0.2">
      <c r="F145" s="41">
        <f t="shared" si="2"/>
        <v>0</v>
      </c>
    </row>
    <row r="146" spans="1:11" hidden="1" outlineLevel="1" x14ac:dyDescent="0.2">
      <c r="F146" s="41">
        <f t="shared" si="2"/>
        <v>0</v>
      </c>
    </row>
    <row r="147" spans="1:11" hidden="1" outlineLevel="1" x14ac:dyDescent="0.2">
      <c r="F147" s="41">
        <f t="shared" si="2"/>
        <v>0</v>
      </c>
    </row>
    <row r="148" spans="1:11" hidden="1" outlineLevel="1" x14ac:dyDescent="0.2">
      <c r="F148" s="41">
        <f t="shared" si="2"/>
        <v>0</v>
      </c>
    </row>
    <row r="149" spans="1:11" hidden="1" outlineLevel="1" x14ac:dyDescent="0.2">
      <c r="F149" s="41">
        <f t="shared" si="2"/>
        <v>0</v>
      </c>
    </row>
    <row r="150" spans="1:11" hidden="1" outlineLevel="1" x14ac:dyDescent="0.2">
      <c r="F150" s="41">
        <f t="shared" si="2"/>
        <v>0</v>
      </c>
    </row>
    <row r="151" spans="1:11" collapsed="1" x14ac:dyDescent="0.2">
      <c r="A151" s="174" t="str">
        <f>Eingaben!B82</f>
        <v>Bestandesumsatz</v>
      </c>
      <c r="B151" s="174"/>
      <c r="C151" s="174"/>
      <c r="D151" s="174"/>
      <c r="E151" s="4">
        <v>8</v>
      </c>
      <c r="F151" s="41">
        <f t="shared" si="2"/>
        <v>6.8376068376068382</v>
      </c>
      <c r="K151" s="16"/>
    </row>
    <row r="152" spans="1:11" ht="26.25" hidden="1" customHeight="1" outlineLevel="1" x14ac:dyDescent="0.2">
      <c r="A152" s="2" t="s">
        <v>160</v>
      </c>
      <c r="B152" s="2" t="s">
        <v>7</v>
      </c>
      <c r="F152" s="41">
        <f t="shared" si="2"/>
        <v>0</v>
      </c>
      <c r="G152" s="2"/>
      <c r="K152" s="16"/>
    </row>
    <row r="153" spans="1:11" hidden="1" outlineLevel="1" x14ac:dyDescent="0.2">
      <c r="A153" s="5">
        <v>0</v>
      </c>
      <c r="B153" s="5">
        <v>1</v>
      </c>
      <c r="C153" s="5"/>
      <c r="F153" s="41">
        <f t="shared" si="2"/>
        <v>0</v>
      </c>
      <c r="G153" s="7"/>
      <c r="K153" s="16"/>
    </row>
    <row r="154" spans="1:11" hidden="1" outlineLevel="1" x14ac:dyDescent="0.2">
      <c r="A154" s="5">
        <v>0.1</v>
      </c>
      <c r="B154" s="5">
        <v>0.95</v>
      </c>
      <c r="C154" s="5"/>
      <c r="F154" s="41">
        <f t="shared" si="2"/>
        <v>0</v>
      </c>
      <c r="G154" s="7"/>
      <c r="K154" s="16"/>
    </row>
    <row r="155" spans="1:11" hidden="1" outlineLevel="1" x14ac:dyDescent="0.2">
      <c r="A155" s="5">
        <v>0.2</v>
      </c>
      <c r="B155" s="5">
        <v>0.9</v>
      </c>
      <c r="C155" s="5"/>
      <c r="F155" s="41">
        <f t="shared" si="2"/>
        <v>0</v>
      </c>
      <c r="G155" s="7"/>
      <c r="K155" s="16"/>
    </row>
    <row r="156" spans="1:11" hidden="1" outlineLevel="1" x14ac:dyDescent="0.2">
      <c r="A156" s="5">
        <v>0.3</v>
      </c>
      <c r="B156" s="5">
        <v>0.85</v>
      </c>
      <c r="C156" s="5"/>
      <c r="F156" s="41">
        <f t="shared" si="2"/>
        <v>0</v>
      </c>
      <c r="G156" s="7"/>
      <c r="K156" s="16"/>
    </row>
    <row r="157" spans="1:11" hidden="1" outlineLevel="1" x14ac:dyDescent="0.2">
      <c r="A157" s="5">
        <v>0.4</v>
      </c>
      <c r="B157" s="5">
        <v>0.8</v>
      </c>
      <c r="C157" s="5"/>
      <c r="F157" s="41">
        <f t="shared" si="2"/>
        <v>0</v>
      </c>
      <c r="G157" s="7"/>
      <c r="K157" s="16"/>
    </row>
    <row r="158" spans="1:11" hidden="1" outlineLevel="1" x14ac:dyDescent="0.2">
      <c r="A158" s="5">
        <v>0.5</v>
      </c>
      <c r="B158" s="5">
        <v>0.75</v>
      </c>
      <c r="C158" s="5"/>
      <c r="F158" s="41">
        <f t="shared" si="2"/>
        <v>0</v>
      </c>
      <c r="G158" s="7"/>
      <c r="K158" s="16"/>
    </row>
    <row r="159" spans="1:11" hidden="1" outlineLevel="1" x14ac:dyDescent="0.2">
      <c r="A159" s="5">
        <v>0.6</v>
      </c>
      <c r="B159" s="5">
        <v>0.6</v>
      </c>
      <c r="C159" s="5"/>
      <c r="F159" s="41">
        <f t="shared" si="2"/>
        <v>0</v>
      </c>
      <c r="G159" s="7"/>
      <c r="K159" s="16"/>
    </row>
    <row r="160" spans="1:11" hidden="1" outlineLevel="1" x14ac:dyDescent="0.2">
      <c r="A160" s="5">
        <v>0.7</v>
      </c>
      <c r="B160" s="5">
        <v>0.45</v>
      </c>
      <c r="C160" s="5"/>
      <c r="F160" s="41">
        <f t="shared" si="2"/>
        <v>0</v>
      </c>
      <c r="G160" s="7"/>
      <c r="K160" s="16"/>
    </row>
    <row r="161" spans="1:11" hidden="1" outlineLevel="1" x14ac:dyDescent="0.2">
      <c r="A161" s="5">
        <v>0.8</v>
      </c>
      <c r="B161" s="5">
        <v>0.3</v>
      </c>
      <c r="C161" s="5"/>
      <c r="F161" s="41">
        <f t="shared" si="2"/>
        <v>0</v>
      </c>
      <c r="G161" s="7"/>
      <c r="K161" s="16"/>
    </row>
    <row r="162" spans="1:11" hidden="1" outlineLevel="1" x14ac:dyDescent="0.2">
      <c r="A162" s="5">
        <v>0.9</v>
      </c>
      <c r="B162" s="5">
        <v>0.15</v>
      </c>
      <c r="C162" s="5"/>
      <c r="F162" s="41">
        <f t="shared" si="2"/>
        <v>0</v>
      </c>
      <c r="G162" s="7"/>
      <c r="K162" s="16"/>
    </row>
    <row r="163" spans="1:11" hidden="1" outlineLevel="1" x14ac:dyDescent="0.2">
      <c r="A163" s="5">
        <v>0.95</v>
      </c>
      <c r="B163" s="5">
        <v>0</v>
      </c>
      <c r="C163" s="5"/>
      <c r="F163" s="41">
        <f t="shared" si="2"/>
        <v>0</v>
      </c>
      <c r="G163" s="7"/>
      <c r="K163" s="16"/>
    </row>
    <row r="164" spans="1:11" hidden="1" outlineLevel="1" x14ac:dyDescent="0.2">
      <c r="A164" s="5"/>
      <c r="B164" s="5"/>
      <c r="C164" s="5"/>
      <c r="F164" s="41">
        <f t="shared" si="2"/>
        <v>0</v>
      </c>
      <c r="G164" s="7"/>
      <c r="K164" s="16"/>
    </row>
    <row r="165" spans="1:11" hidden="1" outlineLevel="1" x14ac:dyDescent="0.2">
      <c r="A165" s="5"/>
      <c r="B165" s="5"/>
      <c r="C165" s="5"/>
      <c r="F165" s="41">
        <f t="shared" si="2"/>
        <v>0</v>
      </c>
      <c r="G165" s="7"/>
      <c r="K165" s="16"/>
    </row>
    <row r="166" spans="1:11" hidden="1" outlineLevel="1" x14ac:dyDescent="0.2">
      <c r="A166" s="5"/>
      <c r="B166" s="5"/>
      <c r="C166" s="5"/>
      <c r="D166" s="7"/>
      <c r="F166" s="41">
        <f t="shared" si="2"/>
        <v>0</v>
      </c>
      <c r="G166" s="7"/>
      <c r="K166" s="16"/>
    </row>
    <row r="167" spans="1:11" hidden="1" outlineLevel="1" x14ac:dyDescent="0.2">
      <c r="A167" s="5"/>
      <c r="B167" s="5"/>
      <c r="C167" s="5"/>
      <c r="F167" s="41">
        <f t="shared" si="2"/>
        <v>0</v>
      </c>
      <c r="G167" s="7"/>
      <c r="K167" s="16"/>
    </row>
    <row r="168" spans="1:11" hidden="1" outlineLevel="1" x14ac:dyDescent="0.2">
      <c r="A168" s="5"/>
      <c r="B168" s="5"/>
      <c r="C168" s="5"/>
      <c r="F168" s="41">
        <f t="shared" si="2"/>
        <v>0</v>
      </c>
      <c r="G168" s="7"/>
      <c r="K168" s="16"/>
    </row>
    <row r="169" spans="1:11" hidden="1" outlineLevel="1" x14ac:dyDescent="0.2">
      <c r="A169" s="5"/>
      <c r="B169" s="5"/>
      <c r="C169" s="5"/>
      <c r="F169" s="41">
        <f t="shared" si="2"/>
        <v>0</v>
      </c>
      <c r="G169" s="7"/>
      <c r="K169" s="16"/>
    </row>
    <row r="170" spans="1:11" hidden="1" outlineLevel="1" x14ac:dyDescent="0.2">
      <c r="A170" s="5"/>
      <c r="B170" s="5"/>
      <c r="C170" s="5"/>
      <c r="F170" s="41">
        <f t="shared" si="2"/>
        <v>0</v>
      </c>
      <c r="G170" s="7"/>
      <c r="K170" s="16"/>
    </row>
    <row r="171" spans="1:11" hidden="1" outlineLevel="1" x14ac:dyDescent="0.2">
      <c r="A171" s="5"/>
      <c r="B171" s="5"/>
      <c r="C171" s="5"/>
      <c r="F171" s="41">
        <f t="shared" si="2"/>
        <v>0</v>
      </c>
      <c r="G171" s="7"/>
      <c r="K171" s="16"/>
    </row>
    <row r="172" spans="1:11" hidden="1" outlineLevel="1" x14ac:dyDescent="0.2">
      <c r="A172" s="5"/>
      <c r="B172" s="5"/>
      <c r="C172" s="5"/>
      <c r="F172" s="41">
        <f t="shared" si="2"/>
        <v>0</v>
      </c>
      <c r="G172" s="7"/>
      <c r="K172" s="16"/>
    </row>
    <row r="173" spans="1:11" hidden="1" outlineLevel="1" x14ac:dyDescent="0.2">
      <c r="A173" s="5"/>
      <c r="B173" s="5"/>
      <c r="C173" s="5"/>
      <c r="F173" s="41">
        <f t="shared" si="2"/>
        <v>0</v>
      </c>
      <c r="G173" s="7"/>
      <c r="K173" s="16"/>
    </row>
    <row r="174" spans="1:11" hidden="1" outlineLevel="1" x14ac:dyDescent="0.2">
      <c r="A174" s="5"/>
      <c r="B174" s="5"/>
      <c r="F174" s="41">
        <f t="shared" si="2"/>
        <v>0</v>
      </c>
      <c r="G174" s="7"/>
      <c r="K174" s="16"/>
    </row>
    <row r="175" spans="1:11" hidden="1" outlineLevel="1" x14ac:dyDescent="0.2">
      <c r="A175" s="5"/>
      <c r="B175" s="5"/>
      <c r="F175" s="41">
        <f t="shared" si="2"/>
        <v>0</v>
      </c>
      <c r="G175" s="7"/>
    </row>
    <row r="176" spans="1:11" hidden="1" outlineLevel="1" x14ac:dyDescent="0.2">
      <c r="A176" s="5"/>
      <c r="B176" s="5"/>
      <c r="F176" s="41">
        <f t="shared" si="2"/>
        <v>0</v>
      </c>
      <c r="G176" s="7"/>
    </row>
    <row r="177" spans="1:7" hidden="1" outlineLevel="1" x14ac:dyDescent="0.2">
      <c r="A177" s="5"/>
      <c r="B177" s="5"/>
      <c r="F177" s="41">
        <f t="shared" si="2"/>
        <v>0</v>
      </c>
      <c r="G177" s="7"/>
    </row>
    <row r="178" spans="1:7" hidden="1" outlineLevel="1" x14ac:dyDescent="0.2">
      <c r="A178" s="5"/>
      <c r="B178" s="5"/>
      <c r="F178" s="41">
        <f t="shared" si="2"/>
        <v>0</v>
      </c>
      <c r="G178" s="7"/>
    </row>
    <row r="179" spans="1:7" hidden="1" outlineLevel="1" x14ac:dyDescent="0.2">
      <c r="A179" s="5"/>
      <c r="B179" s="5"/>
      <c r="F179" s="41">
        <f t="shared" si="2"/>
        <v>0</v>
      </c>
      <c r="G179" s="7"/>
    </row>
    <row r="180" spans="1:7" hidden="1" outlineLevel="1" x14ac:dyDescent="0.2">
      <c r="F180" s="41">
        <f t="shared" si="2"/>
        <v>0</v>
      </c>
    </row>
    <row r="181" spans="1:7" hidden="1" outlineLevel="1" x14ac:dyDescent="0.2">
      <c r="F181" s="41">
        <f t="shared" si="2"/>
        <v>0</v>
      </c>
    </row>
    <row r="182" spans="1:7" hidden="1" outlineLevel="1" x14ac:dyDescent="0.2">
      <c r="F182" s="41">
        <f t="shared" si="2"/>
        <v>0</v>
      </c>
    </row>
    <row r="183" spans="1:7" hidden="1" outlineLevel="1" x14ac:dyDescent="0.2">
      <c r="F183" s="41">
        <f t="shared" si="2"/>
        <v>0</v>
      </c>
    </row>
    <row r="184" spans="1:7" hidden="1" outlineLevel="1" x14ac:dyDescent="0.2">
      <c r="F184" s="41">
        <f t="shared" si="2"/>
        <v>0</v>
      </c>
    </row>
    <row r="185" spans="1:7" hidden="1" outlineLevel="1" x14ac:dyDescent="0.2">
      <c r="F185" s="41">
        <f t="shared" si="2"/>
        <v>0</v>
      </c>
    </row>
    <row r="186" spans="1:7" hidden="1" outlineLevel="1" x14ac:dyDescent="0.2">
      <c r="F186" s="41">
        <f t="shared" si="2"/>
        <v>0</v>
      </c>
    </row>
    <row r="187" spans="1:7" hidden="1" outlineLevel="1" x14ac:dyDescent="0.2">
      <c r="F187" s="41">
        <f t="shared" si="2"/>
        <v>0</v>
      </c>
    </row>
    <row r="188" spans="1:7" hidden="1" outlineLevel="1" x14ac:dyDescent="0.2">
      <c r="F188" s="41">
        <f t="shared" si="2"/>
        <v>0</v>
      </c>
    </row>
    <row r="189" spans="1:7" hidden="1" outlineLevel="1" x14ac:dyDescent="0.2">
      <c r="F189" s="41">
        <f t="shared" si="2"/>
        <v>0</v>
      </c>
    </row>
    <row r="190" spans="1:7" hidden="1" outlineLevel="1" x14ac:dyDescent="0.2">
      <c r="F190" s="41">
        <f t="shared" si="2"/>
        <v>0</v>
      </c>
    </row>
    <row r="191" spans="1:7" hidden="1" outlineLevel="1" x14ac:dyDescent="0.2">
      <c r="F191" s="41">
        <f t="shared" si="2"/>
        <v>0</v>
      </c>
    </row>
    <row r="192" spans="1:7" hidden="1" outlineLevel="1" x14ac:dyDescent="0.2">
      <c r="F192" s="41">
        <f t="shared" si="2"/>
        <v>0</v>
      </c>
    </row>
    <row r="193" spans="1:6" hidden="1" outlineLevel="1" x14ac:dyDescent="0.2">
      <c r="F193" s="41">
        <f t="shared" si="2"/>
        <v>0</v>
      </c>
    </row>
    <row r="194" spans="1:6" hidden="1" outlineLevel="1" x14ac:dyDescent="0.2">
      <c r="F194" s="41">
        <f t="shared" si="2"/>
        <v>0</v>
      </c>
    </row>
    <row r="195" spans="1:6" hidden="1" outlineLevel="1" x14ac:dyDescent="0.2">
      <c r="F195" s="41">
        <f t="shared" ref="F195:F258" si="3">E195/$E$750*100</f>
        <v>0</v>
      </c>
    </row>
    <row r="196" spans="1:6" hidden="1" outlineLevel="1" x14ac:dyDescent="0.2">
      <c r="F196" s="41">
        <f t="shared" si="3"/>
        <v>0</v>
      </c>
    </row>
    <row r="197" spans="1:6" hidden="1" outlineLevel="1" x14ac:dyDescent="0.2">
      <c r="F197" s="41">
        <f t="shared" si="3"/>
        <v>0</v>
      </c>
    </row>
    <row r="198" spans="1:6" hidden="1" outlineLevel="1" x14ac:dyDescent="0.2">
      <c r="F198" s="41">
        <f t="shared" si="3"/>
        <v>0</v>
      </c>
    </row>
    <row r="199" spans="1:6" hidden="1" outlineLevel="1" x14ac:dyDescent="0.2">
      <c r="F199" s="41">
        <f t="shared" si="3"/>
        <v>0</v>
      </c>
    </row>
    <row r="200" spans="1:6" hidden="1" outlineLevel="1" x14ac:dyDescent="0.2">
      <c r="F200" s="41">
        <f t="shared" si="3"/>
        <v>0</v>
      </c>
    </row>
    <row r="201" spans="1:6" ht="12.75" customHeight="1" collapsed="1" x14ac:dyDescent="0.2">
      <c r="A201" s="168" t="str">
        <f>Eingaben!B39</f>
        <v>Publikumsarbeitsplätze</v>
      </c>
      <c r="B201" s="168"/>
      <c r="C201" s="168"/>
      <c r="D201" s="168"/>
      <c r="E201" s="4">
        <v>6</v>
      </c>
      <c r="F201" s="41">
        <f t="shared" si="3"/>
        <v>5.1282051282051277</v>
      </c>
    </row>
    <row r="202" spans="1:6" ht="24" hidden="1" customHeight="1" outlineLevel="1" x14ac:dyDescent="0.2">
      <c r="A202" s="2" t="str">
        <f>Eingaben!B43</f>
        <v>Anzahl Publikumsarbeitsplätze in Prozent des Sollwertes</v>
      </c>
      <c r="B202" s="2" t="s">
        <v>7</v>
      </c>
      <c r="F202" s="41">
        <f t="shared" si="3"/>
        <v>0</v>
      </c>
    </row>
    <row r="203" spans="1:6" hidden="1" outlineLevel="1" x14ac:dyDescent="0.2">
      <c r="A203" s="5">
        <v>0</v>
      </c>
      <c r="B203" s="5">
        <v>0</v>
      </c>
      <c r="F203" s="41">
        <f t="shared" si="3"/>
        <v>0</v>
      </c>
    </row>
    <row r="204" spans="1:6" hidden="1" outlineLevel="1" x14ac:dyDescent="0.2">
      <c r="A204" s="5">
        <v>0.05</v>
      </c>
      <c r="B204" s="5">
        <v>0.1</v>
      </c>
      <c r="F204" s="41">
        <f t="shared" si="3"/>
        <v>0</v>
      </c>
    </row>
    <row r="205" spans="1:6" hidden="1" outlineLevel="1" x14ac:dyDescent="0.2">
      <c r="A205" s="5">
        <v>0.15</v>
      </c>
      <c r="B205" s="5">
        <v>0.2</v>
      </c>
      <c r="F205" s="41">
        <f t="shared" si="3"/>
        <v>0</v>
      </c>
    </row>
    <row r="206" spans="1:6" hidden="1" outlineLevel="1" x14ac:dyDescent="0.2">
      <c r="A206" s="5">
        <v>0.25</v>
      </c>
      <c r="B206" s="5">
        <v>0.3</v>
      </c>
      <c r="F206" s="41">
        <f t="shared" si="3"/>
        <v>0</v>
      </c>
    </row>
    <row r="207" spans="1:6" hidden="1" outlineLevel="1" x14ac:dyDescent="0.2">
      <c r="A207" s="5">
        <v>0.35</v>
      </c>
      <c r="B207" s="5">
        <v>0.4</v>
      </c>
      <c r="F207" s="41">
        <f t="shared" si="3"/>
        <v>0</v>
      </c>
    </row>
    <row r="208" spans="1:6" hidden="1" outlineLevel="1" x14ac:dyDescent="0.2">
      <c r="A208" s="5">
        <v>0.45</v>
      </c>
      <c r="B208" s="5">
        <v>0.5</v>
      </c>
      <c r="F208" s="41">
        <f t="shared" si="3"/>
        <v>0</v>
      </c>
    </row>
    <row r="209" spans="1:6" hidden="1" outlineLevel="1" x14ac:dyDescent="0.2">
      <c r="A209" s="5">
        <v>0.55000000000000004</v>
      </c>
      <c r="B209" s="5">
        <v>0.6</v>
      </c>
      <c r="F209" s="41">
        <f t="shared" si="3"/>
        <v>0</v>
      </c>
    </row>
    <row r="210" spans="1:6" hidden="1" outlineLevel="1" x14ac:dyDescent="0.2">
      <c r="A210" s="5">
        <v>0.65</v>
      </c>
      <c r="B210" s="5">
        <v>0.7</v>
      </c>
      <c r="F210" s="41">
        <f t="shared" si="3"/>
        <v>0</v>
      </c>
    </row>
    <row r="211" spans="1:6" hidden="1" outlineLevel="1" x14ac:dyDescent="0.2">
      <c r="A211" s="5">
        <v>0.75</v>
      </c>
      <c r="B211" s="5">
        <v>0.8</v>
      </c>
      <c r="F211" s="41">
        <f t="shared" si="3"/>
        <v>0</v>
      </c>
    </row>
    <row r="212" spans="1:6" hidden="1" outlineLevel="1" x14ac:dyDescent="0.2">
      <c r="A212" s="5">
        <v>0.85</v>
      </c>
      <c r="B212" s="5">
        <v>0.9</v>
      </c>
      <c r="F212" s="41">
        <f t="shared" si="3"/>
        <v>0</v>
      </c>
    </row>
    <row r="213" spans="1:6" hidden="1" outlineLevel="1" x14ac:dyDescent="0.2">
      <c r="A213" s="5">
        <v>0.95</v>
      </c>
      <c r="B213" s="5">
        <v>1</v>
      </c>
      <c r="F213" s="41">
        <f t="shared" si="3"/>
        <v>0</v>
      </c>
    </row>
    <row r="214" spans="1:6" hidden="1" outlineLevel="1" x14ac:dyDescent="0.2">
      <c r="A214" s="5">
        <v>1.06</v>
      </c>
      <c r="B214" s="5">
        <v>1</v>
      </c>
      <c r="F214" s="41">
        <f t="shared" si="3"/>
        <v>0</v>
      </c>
    </row>
    <row r="215" spans="1:6" hidden="1" outlineLevel="1" x14ac:dyDescent="0.2">
      <c r="A215" s="5">
        <v>1.1599999999999999</v>
      </c>
      <c r="B215" s="5">
        <v>1</v>
      </c>
      <c r="F215" s="41">
        <f t="shared" si="3"/>
        <v>0</v>
      </c>
    </row>
    <row r="216" spans="1:6" hidden="1" outlineLevel="1" x14ac:dyDescent="0.2">
      <c r="A216" s="5">
        <v>1.26</v>
      </c>
      <c r="B216" s="5">
        <v>1</v>
      </c>
      <c r="F216" s="41">
        <f t="shared" si="3"/>
        <v>0</v>
      </c>
    </row>
    <row r="217" spans="1:6" hidden="1" outlineLevel="1" x14ac:dyDescent="0.2">
      <c r="A217" s="5">
        <v>1.36</v>
      </c>
      <c r="B217" s="5">
        <v>1</v>
      </c>
      <c r="F217" s="41">
        <f t="shared" si="3"/>
        <v>0</v>
      </c>
    </row>
    <row r="218" spans="1:6" hidden="1" outlineLevel="1" x14ac:dyDescent="0.2">
      <c r="A218" s="5">
        <v>1.46</v>
      </c>
      <c r="B218" s="5">
        <v>1</v>
      </c>
      <c r="F218" s="41">
        <f t="shared" si="3"/>
        <v>0</v>
      </c>
    </row>
    <row r="219" spans="1:6" hidden="1" outlineLevel="1" x14ac:dyDescent="0.2">
      <c r="A219" s="5">
        <v>1.56</v>
      </c>
      <c r="B219" s="5">
        <v>1</v>
      </c>
      <c r="F219" s="41">
        <f t="shared" si="3"/>
        <v>0</v>
      </c>
    </row>
    <row r="220" spans="1:6" hidden="1" outlineLevel="1" x14ac:dyDescent="0.2">
      <c r="A220" s="5">
        <v>1.66</v>
      </c>
      <c r="B220" s="5">
        <v>1</v>
      </c>
      <c r="F220" s="41">
        <f t="shared" si="3"/>
        <v>0</v>
      </c>
    </row>
    <row r="221" spans="1:6" hidden="1" outlineLevel="1" x14ac:dyDescent="0.2">
      <c r="A221" s="5">
        <v>1.76</v>
      </c>
      <c r="B221" s="5">
        <v>1</v>
      </c>
      <c r="F221" s="41">
        <f t="shared" si="3"/>
        <v>0</v>
      </c>
    </row>
    <row r="222" spans="1:6" hidden="1" outlineLevel="1" x14ac:dyDescent="0.2">
      <c r="A222" s="5">
        <v>1.86</v>
      </c>
      <c r="B222" s="5">
        <v>1</v>
      </c>
      <c r="F222" s="41">
        <f t="shared" si="3"/>
        <v>0</v>
      </c>
    </row>
    <row r="223" spans="1:6" hidden="1" outlineLevel="1" x14ac:dyDescent="0.2">
      <c r="A223" s="5">
        <v>1.96</v>
      </c>
      <c r="B223" s="5">
        <v>1</v>
      </c>
      <c r="F223" s="41">
        <f t="shared" si="3"/>
        <v>0</v>
      </c>
    </row>
    <row r="224" spans="1:6" hidden="1" outlineLevel="1" x14ac:dyDescent="0.2">
      <c r="F224" s="41">
        <f t="shared" si="3"/>
        <v>0</v>
      </c>
    </row>
    <row r="225" spans="1:6" hidden="1" outlineLevel="1" x14ac:dyDescent="0.2">
      <c r="F225" s="41">
        <f t="shared" si="3"/>
        <v>0</v>
      </c>
    </row>
    <row r="226" spans="1:6" hidden="1" outlineLevel="1" x14ac:dyDescent="0.2">
      <c r="A226" t="s">
        <v>90</v>
      </c>
      <c r="F226" s="41">
        <f t="shared" si="3"/>
        <v>0</v>
      </c>
    </row>
    <row r="227" spans="1:6" hidden="1" outlineLevel="1" x14ac:dyDescent="0.2">
      <c r="A227" s="18" t="s">
        <v>121</v>
      </c>
      <c r="B227" s="6">
        <v>1</v>
      </c>
      <c r="F227" s="41">
        <f t="shared" si="3"/>
        <v>0</v>
      </c>
    </row>
    <row r="228" spans="1:6" hidden="1" outlineLevel="1" x14ac:dyDescent="0.2">
      <c r="A228" s="18" t="s">
        <v>122</v>
      </c>
      <c r="B228" s="6">
        <v>0.3</v>
      </c>
      <c r="F228" s="41">
        <f t="shared" si="3"/>
        <v>0</v>
      </c>
    </row>
    <row r="229" spans="1:6" hidden="1" outlineLevel="1" x14ac:dyDescent="0.2">
      <c r="F229" s="41">
        <f t="shared" si="3"/>
        <v>0</v>
      </c>
    </row>
    <row r="230" spans="1:6" hidden="1" outlineLevel="1" x14ac:dyDescent="0.2">
      <c r="F230" s="41">
        <f t="shared" si="3"/>
        <v>0</v>
      </c>
    </row>
    <row r="231" spans="1:6" hidden="1" outlineLevel="1" x14ac:dyDescent="0.2">
      <c r="F231" s="41">
        <f t="shared" si="3"/>
        <v>0</v>
      </c>
    </row>
    <row r="232" spans="1:6" hidden="1" outlineLevel="1" x14ac:dyDescent="0.2">
      <c r="F232" s="41">
        <f t="shared" si="3"/>
        <v>0</v>
      </c>
    </row>
    <row r="233" spans="1:6" hidden="1" outlineLevel="1" x14ac:dyDescent="0.2">
      <c r="F233" s="41">
        <f t="shared" si="3"/>
        <v>0</v>
      </c>
    </row>
    <row r="234" spans="1:6" hidden="1" outlineLevel="1" x14ac:dyDescent="0.2">
      <c r="F234" s="41">
        <f t="shared" si="3"/>
        <v>0</v>
      </c>
    </row>
    <row r="235" spans="1:6" hidden="1" outlineLevel="1" x14ac:dyDescent="0.2">
      <c r="F235" s="41">
        <f t="shared" si="3"/>
        <v>0</v>
      </c>
    </row>
    <row r="236" spans="1:6" hidden="1" outlineLevel="1" x14ac:dyDescent="0.2">
      <c r="F236" s="41">
        <f t="shared" si="3"/>
        <v>0</v>
      </c>
    </row>
    <row r="237" spans="1:6" hidden="1" outlineLevel="1" x14ac:dyDescent="0.2">
      <c r="F237" s="41">
        <f t="shared" si="3"/>
        <v>0</v>
      </c>
    </row>
    <row r="238" spans="1:6" hidden="1" outlineLevel="1" x14ac:dyDescent="0.2">
      <c r="F238" s="41">
        <f t="shared" si="3"/>
        <v>0</v>
      </c>
    </row>
    <row r="239" spans="1:6" hidden="1" outlineLevel="1" x14ac:dyDescent="0.2">
      <c r="F239" s="41">
        <f t="shared" si="3"/>
        <v>0</v>
      </c>
    </row>
    <row r="240" spans="1:6" hidden="1" outlineLevel="1" x14ac:dyDescent="0.2">
      <c r="F240" s="41">
        <f t="shared" si="3"/>
        <v>0</v>
      </c>
    </row>
    <row r="241" spans="1:6" hidden="1" outlineLevel="1" x14ac:dyDescent="0.2">
      <c r="F241" s="41">
        <f t="shared" si="3"/>
        <v>0</v>
      </c>
    </row>
    <row r="242" spans="1:6" hidden="1" outlineLevel="1" x14ac:dyDescent="0.2">
      <c r="F242" s="41">
        <f t="shared" si="3"/>
        <v>0</v>
      </c>
    </row>
    <row r="243" spans="1:6" hidden="1" outlineLevel="1" x14ac:dyDescent="0.2">
      <c r="F243" s="41">
        <f t="shared" si="3"/>
        <v>0</v>
      </c>
    </row>
    <row r="244" spans="1:6" hidden="1" outlineLevel="1" x14ac:dyDescent="0.2">
      <c r="F244" s="41">
        <f t="shared" si="3"/>
        <v>0</v>
      </c>
    </row>
    <row r="245" spans="1:6" hidden="1" outlineLevel="1" x14ac:dyDescent="0.2">
      <c r="F245" s="41">
        <f t="shared" si="3"/>
        <v>0</v>
      </c>
    </row>
    <row r="246" spans="1:6" hidden="1" outlineLevel="1" x14ac:dyDescent="0.2">
      <c r="F246" s="41">
        <f t="shared" si="3"/>
        <v>0</v>
      </c>
    </row>
    <row r="247" spans="1:6" hidden="1" outlineLevel="1" x14ac:dyDescent="0.2">
      <c r="F247" s="41">
        <f t="shared" si="3"/>
        <v>0</v>
      </c>
    </row>
    <row r="248" spans="1:6" hidden="1" outlineLevel="1" x14ac:dyDescent="0.2">
      <c r="F248" s="41">
        <f t="shared" si="3"/>
        <v>0</v>
      </c>
    </row>
    <row r="249" spans="1:6" hidden="1" outlineLevel="1" x14ac:dyDescent="0.2">
      <c r="F249" s="41">
        <f t="shared" si="3"/>
        <v>0</v>
      </c>
    </row>
    <row r="250" spans="1:6" hidden="1" outlineLevel="1" x14ac:dyDescent="0.2">
      <c r="F250" s="41">
        <f t="shared" si="3"/>
        <v>0</v>
      </c>
    </row>
    <row r="251" spans="1:6" collapsed="1" x14ac:dyDescent="0.2">
      <c r="A251" s="166" t="str">
        <f>Eingaben!B90</f>
        <v>Veranstaltungen (Lesungen, Bücherkaffee, Führungen, Veranstaltungen usw.)</v>
      </c>
      <c r="B251" s="167"/>
      <c r="C251" s="167"/>
      <c r="D251" s="167"/>
      <c r="E251" s="4">
        <v>4</v>
      </c>
      <c r="F251" s="41">
        <f t="shared" si="3"/>
        <v>3.4188034188034191</v>
      </c>
    </row>
    <row r="252" spans="1:6" ht="33.75" hidden="1" customHeight="1" outlineLevel="1" x14ac:dyDescent="0.2">
      <c r="A252" s="106" t="str">
        <f>Eingaben!B93</f>
        <v>Veranstaltungen in Prozenten der Soll-Veranstaltungen</v>
      </c>
      <c r="B252" s="2" t="s">
        <v>7</v>
      </c>
      <c r="F252" s="41">
        <f t="shared" si="3"/>
        <v>0</v>
      </c>
    </row>
    <row r="253" spans="1:6" hidden="1" outlineLevel="1" x14ac:dyDescent="0.2">
      <c r="A253" s="6">
        <v>0</v>
      </c>
      <c r="B253" s="6">
        <v>0</v>
      </c>
      <c r="F253" s="41">
        <f t="shared" si="3"/>
        <v>0</v>
      </c>
    </row>
    <row r="254" spans="1:6" hidden="1" outlineLevel="1" x14ac:dyDescent="0.2">
      <c r="A254" s="6">
        <v>0.1</v>
      </c>
      <c r="B254" s="6">
        <v>0.12</v>
      </c>
      <c r="F254" s="41">
        <f t="shared" si="3"/>
        <v>0</v>
      </c>
    </row>
    <row r="255" spans="1:6" hidden="1" outlineLevel="1" x14ac:dyDescent="0.2">
      <c r="A255" s="6">
        <v>0.2</v>
      </c>
      <c r="B255" s="6">
        <v>0.25</v>
      </c>
      <c r="F255" s="41">
        <f t="shared" si="3"/>
        <v>0</v>
      </c>
    </row>
    <row r="256" spans="1:6" hidden="1" outlineLevel="1" x14ac:dyDescent="0.2">
      <c r="A256" s="6">
        <v>0.3</v>
      </c>
      <c r="B256" s="6">
        <v>0.35</v>
      </c>
      <c r="F256" s="41">
        <f t="shared" si="3"/>
        <v>0</v>
      </c>
    </row>
    <row r="257" spans="1:6" hidden="1" outlineLevel="1" x14ac:dyDescent="0.2">
      <c r="A257" s="6">
        <v>0.4</v>
      </c>
      <c r="B257" s="6">
        <v>0.45</v>
      </c>
      <c r="F257" s="41">
        <f t="shared" si="3"/>
        <v>0</v>
      </c>
    </row>
    <row r="258" spans="1:6" hidden="1" outlineLevel="1" x14ac:dyDescent="0.2">
      <c r="A258" s="6">
        <v>0.5</v>
      </c>
      <c r="B258" s="6">
        <v>0.55000000000000004</v>
      </c>
      <c r="F258" s="41">
        <f t="shared" si="3"/>
        <v>0</v>
      </c>
    </row>
    <row r="259" spans="1:6" hidden="1" outlineLevel="1" x14ac:dyDescent="0.2">
      <c r="A259" s="6">
        <v>0.6</v>
      </c>
      <c r="B259" s="6">
        <v>0.65</v>
      </c>
      <c r="F259" s="41">
        <f t="shared" ref="F259:F322" si="4">E259/$E$750*100</f>
        <v>0</v>
      </c>
    </row>
    <row r="260" spans="1:6" hidden="1" outlineLevel="1" x14ac:dyDescent="0.2">
      <c r="A260" s="6">
        <v>0.7</v>
      </c>
      <c r="B260" s="6">
        <v>0.75</v>
      </c>
      <c r="F260" s="41">
        <f t="shared" si="4"/>
        <v>0</v>
      </c>
    </row>
    <row r="261" spans="1:6" hidden="1" outlineLevel="1" x14ac:dyDescent="0.2">
      <c r="A261" s="6">
        <v>0.8</v>
      </c>
      <c r="B261" s="6">
        <v>0.85</v>
      </c>
      <c r="F261" s="41">
        <f t="shared" si="4"/>
        <v>0</v>
      </c>
    </row>
    <row r="262" spans="1:6" hidden="1" outlineLevel="1" x14ac:dyDescent="0.2">
      <c r="A262" s="6">
        <v>0.9</v>
      </c>
      <c r="B262" s="6">
        <v>0.95</v>
      </c>
      <c r="F262" s="41">
        <f t="shared" si="4"/>
        <v>0</v>
      </c>
    </row>
    <row r="263" spans="1:6" hidden="1" outlineLevel="1" x14ac:dyDescent="0.2">
      <c r="A263" s="6">
        <v>1</v>
      </c>
      <c r="B263" s="6">
        <v>1</v>
      </c>
      <c r="F263" s="41">
        <f t="shared" si="4"/>
        <v>0</v>
      </c>
    </row>
    <row r="264" spans="1:6" hidden="1" outlineLevel="1" x14ac:dyDescent="0.2">
      <c r="A264" s="6"/>
      <c r="B264" s="6"/>
      <c r="F264" s="41">
        <f t="shared" si="4"/>
        <v>0</v>
      </c>
    </row>
    <row r="265" spans="1:6" hidden="1" outlineLevel="1" x14ac:dyDescent="0.2">
      <c r="A265" s="6"/>
      <c r="B265" s="6"/>
      <c r="F265" s="41">
        <f t="shared" si="4"/>
        <v>0</v>
      </c>
    </row>
    <row r="266" spans="1:6" hidden="1" outlineLevel="1" x14ac:dyDescent="0.2">
      <c r="A266" s="6"/>
      <c r="B266" s="6"/>
      <c r="F266" s="41">
        <f t="shared" si="4"/>
        <v>0</v>
      </c>
    </row>
    <row r="267" spans="1:6" hidden="1" outlineLevel="1" x14ac:dyDescent="0.2">
      <c r="F267" s="41">
        <f t="shared" si="4"/>
        <v>0</v>
      </c>
    </row>
    <row r="268" spans="1:6" ht="38.450000000000003" hidden="1" customHeight="1" outlineLevel="1" x14ac:dyDescent="0.2">
      <c r="F268" s="41">
        <f t="shared" si="4"/>
        <v>0</v>
      </c>
    </row>
    <row r="269" spans="1:6" hidden="1" outlineLevel="1" x14ac:dyDescent="0.2">
      <c r="F269" s="41">
        <f t="shared" si="4"/>
        <v>0</v>
      </c>
    </row>
    <row r="270" spans="1:6" hidden="1" outlineLevel="1" x14ac:dyDescent="0.2">
      <c r="F270" s="41">
        <f t="shared" si="4"/>
        <v>0</v>
      </c>
    </row>
    <row r="271" spans="1:6" hidden="1" outlineLevel="1" x14ac:dyDescent="0.2">
      <c r="F271" s="41">
        <f t="shared" si="4"/>
        <v>0</v>
      </c>
    </row>
    <row r="272" spans="1:6" hidden="1" outlineLevel="1" x14ac:dyDescent="0.2">
      <c r="F272" s="41">
        <f t="shared" si="4"/>
        <v>0</v>
      </c>
    </row>
    <row r="273" spans="6:6" hidden="1" outlineLevel="1" x14ac:dyDescent="0.2">
      <c r="F273" s="41">
        <f t="shared" si="4"/>
        <v>0</v>
      </c>
    </row>
    <row r="274" spans="6:6" hidden="1" outlineLevel="1" x14ac:dyDescent="0.2">
      <c r="F274" s="41">
        <f t="shared" si="4"/>
        <v>0</v>
      </c>
    </row>
    <row r="275" spans="6:6" hidden="1" outlineLevel="1" x14ac:dyDescent="0.2">
      <c r="F275" s="41">
        <f t="shared" si="4"/>
        <v>0</v>
      </c>
    </row>
    <row r="276" spans="6:6" hidden="1" outlineLevel="1" x14ac:dyDescent="0.2">
      <c r="F276" s="41">
        <f t="shared" si="4"/>
        <v>0</v>
      </c>
    </row>
    <row r="277" spans="6:6" hidden="1" outlineLevel="1" x14ac:dyDescent="0.2">
      <c r="F277" s="41">
        <f t="shared" si="4"/>
        <v>0</v>
      </c>
    </row>
    <row r="278" spans="6:6" hidden="1" outlineLevel="1" x14ac:dyDescent="0.2">
      <c r="F278" s="41">
        <f t="shared" si="4"/>
        <v>0</v>
      </c>
    </row>
    <row r="279" spans="6:6" hidden="1" outlineLevel="1" x14ac:dyDescent="0.2">
      <c r="F279" s="41">
        <f t="shared" si="4"/>
        <v>0</v>
      </c>
    </row>
    <row r="280" spans="6:6" hidden="1" outlineLevel="1" x14ac:dyDescent="0.2">
      <c r="F280" s="41">
        <f t="shared" si="4"/>
        <v>0</v>
      </c>
    </row>
    <row r="281" spans="6:6" hidden="1" outlineLevel="1" x14ac:dyDescent="0.2">
      <c r="F281" s="41">
        <f t="shared" si="4"/>
        <v>0</v>
      </c>
    </row>
    <row r="282" spans="6:6" hidden="1" outlineLevel="1" x14ac:dyDescent="0.2">
      <c r="F282" s="41">
        <f t="shared" si="4"/>
        <v>0</v>
      </c>
    </row>
    <row r="283" spans="6:6" hidden="1" outlineLevel="1" x14ac:dyDescent="0.2">
      <c r="F283" s="41">
        <f t="shared" si="4"/>
        <v>0</v>
      </c>
    </row>
    <row r="284" spans="6:6" hidden="1" outlineLevel="1" x14ac:dyDescent="0.2">
      <c r="F284" s="41">
        <f t="shared" si="4"/>
        <v>0</v>
      </c>
    </row>
    <row r="285" spans="6:6" hidden="1" outlineLevel="1" x14ac:dyDescent="0.2">
      <c r="F285" s="41">
        <f t="shared" si="4"/>
        <v>0</v>
      </c>
    </row>
    <row r="286" spans="6:6" hidden="1" outlineLevel="1" x14ac:dyDescent="0.2">
      <c r="F286" s="41">
        <f t="shared" si="4"/>
        <v>0</v>
      </c>
    </row>
    <row r="287" spans="6:6" hidden="1" outlineLevel="1" x14ac:dyDescent="0.2">
      <c r="F287" s="41">
        <f t="shared" si="4"/>
        <v>0</v>
      </c>
    </row>
    <row r="288" spans="6:6" hidden="1" outlineLevel="1" x14ac:dyDescent="0.2">
      <c r="F288" s="41">
        <f t="shared" si="4"/>
        <v>0</v>
      </c>
    </row>
    <row r="289" spans="1:6" hidden="1" outlineLevel="1" x14ac:dyDescent="0.2">
      <c r="F289" s="41">
        <f t="shared" si="4"/>
        <v>0</v>
      </c>
    </row>
    <row r="290" spans="1:6" hidden="1" outlineLevel="1" x14ac:dyDescent="0.2">
      <c r="F290" s="41">
        <f t="shared" si="4"/>
        <v>0</v>
      </c>
    </row>
    <row r="291" spans="1:6" hidden="1" outlineLevel="1" x14ac:dyDescent="0.2">
      <c r="F291" s="41">
        <f t="shared" si="4"/>
        <v>0</v>
      </c>
    </row>
    <row r="292" spans="1:6" hidden="1" outlineLevel="1" x14ac:dyDescent="0.2">
      <c r="F292" s="41">
        <f t="shared" si="4"/>
        <v>0</v>
      </c>
    </row>
    <row r="293" spans="1:6" hidden="1" outlineLevel="1" x14ac:dyDescent="0.2">
      <c r="F293" s="41">
        <f t="shared" si="4"/>
        <v>0</v>
      </c>
    </row>
    <row r="294" spans="1:6" hidden="1" outlineLevel="1" x14ac:dyDescent="0.2">
      <c r="F294" s="41">
        <f t="shared" si="4"/>
        <v>0</v>
      </c>
    </row>
    <row r="295" spans="1:6" hidden="1" outlineLevel="1" x14ac:dyDescent="0.2">
      <c r="F295" s="41">
        <f t="shared" si="4"/>
        <v>0</v>
      </c>
    </row>
    <row r="296" spans="1:6" hidden="1" outlineLevel="1" x14ac:dyDescent="0.2">
      <c r="F296" s="41">
        <f t="shared" si="4"/>
        <v>0</v>
      </c>
    </row>
    <row r="297" spans="1:6" hidden="1" outlineLevel="1" x14ac:dyDescent="0.2">
      <c r="F297" s="41">
        <f t="shared" si="4"/>
        <v>0</v>
      </c>
    </row>
    <row r="298" spans="1:6" hidden="1" outlineLevel="1" x14ac:dyDescent="0.2">
      <c r="F298" s="41">
        <f t="shared" si="4"/>
        <v>0</v>
      </c>
    </row>
    <row r="299" spans="1:6" hidden="1" outlineLevel="1" x14ac:dyDescent="0.2">
      <c r="F299" s="41">
        <f t="shared" si="4"/>
        <v>0</v>
      </c>
    </row>
    <row r="300" spans="1:6" hidden="1" outlineLevel="1" x14ac:dyDescent="0.2">
      <c r="F300" s="41">
        <f t="shared" si="4"/>
        <v>0</v>
      </c>
    </row>
    <row r="301" spans="1:6" ht="12.75" customHeight="1" collapsed="1" x14ac:dyDescent="0.2">
      <c r="A301" s="168" t="str">
        <f>Eingaben!B55</f>
        <v xml:space="preserve">Öffnungszeiten </v>
      </c>
      <c r="B301" s="168"/>
      <c r="C301" s="168"/>
      <c r="D301" s="168"/>
      <c r="E301" s="4">
        <v>12</v>
      </c>
      <c r="F301" s="41">
        <f t="shared" si="4"/>
        <v>10.256410256410255</v>
      </c>
    </row>
    <row r="302" spans="1:6" hidden="1" outlineLevel="1" x14ac:dyDescent="0.2">
      <c r="A302" s="9" t="s">
        <v>102</v>
      </c>
      <c r="B302" s="2" t="s">
        <v>7</v>
      </c>
      <c r="C302" s="8"/>
      <c r="D302" s="8"/>
      <c r="F302" s="41">
        <f t="shared" si="4"/>
        <v>0</v>
      </c>
    </row>
    <row r="303" spans="1:6" hidden="1" outlineLevel="1" x14ac:dyDescent="0.2">
      <c r="A303" s="5">
        <v>0</v>
      </c>
      <c r="B303" s="5">
        <v>0</v>
      </c>
      <c r="F303" s="41">
        <f t="shared" si="4"/>
        <v>0</v>
      </c>
    </row>
    <row r="304" spans="1:6" hidden="1" outlineLevel="1" x14ac:dyDescent="0.2">
      <c r="A304" s="5">
        <v>0.05</v>
      </c>
      <c r="B304" s="5">
        <v>0.1</v>
      </c>
      <c r="F304" s="41">
        <f t="shared" si="4"/>
        <v>0</v>
      </c>
    </row>
    <row r="305" spans="1:6" hidden="1" outlineLevel="1" x14ac:dyDescent="0.2">
      <c r="A305" s="5">
        <v>0.15</v>
      </c>
      <c r="B305" s="5">
        <v>0.2</v>
      </c>
      <c r="F305" s="41">
        <f t="shared" si="4"/>
        <v>0</v>
      </c>
    </row>
    <row r="306" spans="1:6" hidden="1" outlineLevel="1" x14ac:dyDescent="0.2">
      <c r="A306" s="5">
        <v>0.25</v>
      </c>
      <c r="B306" s="5">
        <v>0.3</v>
      </c>
      <c r="F306" s="41">
        <f t="shared" si="4"/>
        <v>0</v>
      </c>
    </row>
    <row r="307" spans="1:6" hidden="1" outlineLevel="1" x14ac:dyDescent="0.2">
      <c r="A307" s="5">
        <v>0.35</v>
      </c>
      <c r="B307" s="5">
        <v>0.4</v>
      </c>
      <c r="F307" s="41">
        <f t="shared" si="4"/>
        <v>0</v>
      </c>
    </row>
    <row r="308" spans="1:6" hidden="1" outlineLevel="1" x14ac:dyDescent="0.2">
      <c r="A308" s="5">
        <v>0.45</v>
      </c>
      <c r="B308" s="5">
        <v>0.5</v>
      </c>
      <c r="F308" s="41">
        <f t="shared" si="4"/>
        <v>0</v>
      </c>
    </row>
    <row r="309" spans="1:6" hidden="1" outlineLevel="1" x14ac:dyDescent="0.2">
      <c r="A309" s="5">
        <v>0.55000000000000004</v>
      </c>
      <c r="B309" s="5">
        <v>0.6</v>
      </c>
      <c r="F309" s="41">
        <f t="shared" si="4"/>
        <v>0</v>
      </c>
    </row>
    <row r="310" spans="1:6" hidden="1" outlineLevel="1" x14ac:dyDescent="0.2">
      <c r="A310" s="5">
        <v>0.65</v>
      </c>
      <c r="B310" s="5">
        <v>0.7</v>
      </c>
      <c r="F310" s="41">
        <f t="shared" si="4"/>
        <v>0</v>
      </c>
    </row>
    <row r="311" spans="1:6" hidden="1" outlineLevel="1" x14ac:dyDescent="0.2">
      <c r="A311" s="5">
        <v>0.75</v>
      </c>
      <c r="B311" s="5">
        <v>0.8</v>
      </c>
      <c r="F311" s="41">
        <f t="shared" si="4"/>
        <v>0</v>
      </c>
    </row>
    <row r="312" spans="1:6" hidden="1" outlineLevel="1" x14ac:dyDescent="0.2">
      <c r="A312" s="5">
        <v>0.85</v>
      </c>
      <c r="B312" s="5">
        <v>0.9</v>
      </c>
      <c r="F312" s="41">
        <f t="shared" si="4"/>
        <v>0</v>
      </c>
    </row>
    <row r="313" spans="1:6" hidden="1" outlineLevel="1" x14ac:dyDescent="0.2">
      <c r="A313" s="5">
        <v>0.95</v>
      </c>
      <c r="B313" s="5">
        <v>1</v>
      </c>
      <c r="F313" s="41">
        <f t="shared" si="4"/>
        <v>0</v>
      </c>
    </row>
    <row r="314" spans="1:6" hidden="1" outlineLevel="1" x14ac:dyDescent="0.2">
      <c r="A314" s="5">
        <v>1.06</v>
      </c>
      <c r="B314" s="5">
        <v>1</v>
      </c>
      <c r="F314" s="41">
        <f t="shared" si="4"/>
        <v>0</v>
      </c>
    </row>
    <row r="315" spans="1:6" hidden="1" outlineLevel="1" x14ac:dyDescent="0.2">
      <c r="A315" s="5">
        <v>1.1599999999999999</v>
      </c>
      <c r="B315" s="5">
        <v>1</v>
      </c>
      <c r="F315" s="41">
        <f t="shared" si="4"/>
        <v>0</v>
      </c>
    </row>
    <row r="316" spans="1:6" hidden="1" outlineLevel="1" x14ac:dyDescent="0.2">
      <c r="A316" s="5">
        <v>1.26</v>
      </c>
      <c r="B316" s="5">
        <v>1</v>
      </c>
      <c r="F316" s="41">
        <f t="shared" si="4"/>
        <v>0</v>
      </c>
    </row>
    <row r="317" spans="1:6" hidden="1" outlineLevel="1" x14ac:dyDescent="0.2">
      <c r="A317" s="5">
        <v>1.36</v>
      </c>
      <c r="B317" s="5">
        <v>1</v>
      </c>
      <c r="F317" s="41">
        <f t="shared" si="4"/>
        <v>0</v>
      </c>
    </row>
    <row r="318" spans="1:6" hidden="1" outlineLevel="1" x14ac:dyDescent="0.2">
      <c r="A318" s="5">
        <v>1.46</v>
      </c>
      <c r="B318" s="5">
        <v>1</v>
      </c>
      <c r="F318" s="41">
        <f t="shared" si="4"/>
        <v>0</v>
      </c>
    </row>
    <row r="319" spans="1:6" hidden="1" outlineLevel="1" x14ac:dyDescent="0.2">
      <c r="A319" s="5">
        <v>1.56</v>
      </c>
      <c r="B319" s="5">
        <v>1</v>
      </c>
      <c r="F319" s="41">
        <f t="shared" si="4"/>
        <v>0</v>
      </c>
    </row>
    <row r="320" spans="1:6" hidden="1" outlineLevel="1" x14ac:dyDescent="0.2">
      <c r="A320" s="5">
        <v>1.66</v>
      </c>
      <c r="B320" s="5">
        <v>1</v>
      </c>
      <c r="F320" s="41">
        <f t="shared" si="4"/>
        <v>0</v>
      </c>
    </row>
    <row r="321" spans="1:7" hidden="1" outlineLevel="1" x14ac:dyDescent="0.2">
      <c r="A321" s="5">
        <v>1.76</v>
      </c>
      <c r="B321" s="5">
        <v>1</v>
      </c>
      <c r="F321" s="41">
        <f t="shared" si="4"/>
        <v>0</v>
      </c>
    </row>
    <row r="322" spans="1:7" hidden="1" outlineLevel="1" x14ac:dyDescent="0.2">
      <c r="A322" s="5">
        <v>1.86</v>
      </c>
      <c r="B322" s="5">
        <v>1</v>
      </c>
      <c r="F322" s="41">
        <f t="shared" si="4"/>
        <v>0</v>
      </c>
    </row>
    <row r="323" spans="1:7" hidden="1" outlineLevel="1" x14ac:dyDescent="0.2">
      <c r="A323" s="5">
        <v>1.96</v>
      </c>
      <c r="B323" s="5">
        <v>1</v>
      </c>
      <c r="F323" s="41">
        <f t="shared" ref="F323:F386" si="5">E323/$E$750*100</f>
        <v>0</v>
      </c>
    </row>
    <row r="324" spans="1:7" hidden="1" outlineLevel="1" x14ac:dyDescent="0.2">
      <c r="F324" s="41">
        <f t="shared" si="5"/>
        <v>0</v>
      </c>
    </row>
    <row r="325" spans="1:7" hidden="1" outlineLevel="1" x14ac:dyDescent="0.2"/>
    <row r="326" spans="1:7" hidden="1" outlineLevel="1" x14ac:dyDescent="0.2"/>
    <row r="327" spans="1:7" hidden="1" outlineLevel="1" x14ac:dyDescent="0.2">
      <c r="A327" t="s">
        <v>106</v>
      </c>
    </row>
    <row r="328" spans="1:7" hidden="1" outlineLevel="1" x14ac:dyDescent="0.2">
      <c r="A328" s="18" t="s">
        <v>20</v>
      </c>
      <c r="B328" s="18" t="s">
        <v>104</v>
      </c>
      <c r="C328" s="18" t="s">
        <v>105</v>
      </c>
      <c r="F328" s="41">
        <f>E328/$E$750*100</f>
        <v>0</v>
      </c>
    </row>
    <row r="329" spans="1:7" hidden="1" outlineLevel="1" x14ac:dyDescent="0.2">
      <c r="A329" s="6">
        <v>0</v>
      </c>
      <c r="B329" s="6">
        <v>1</v>
      </c>
      <c r="C329" s="6">
        <v>0</v>
      </c>
      <c r="F329" s="41">
        <f>E329/$E$750*100</f>
        <v>0</v>
      </c>
    </row>
    <row r="330" spans="1:7" hidden="1" outlineLevel="1" x14ac:dyDescent="0.2">
      <c r="A330" s="6">
        <v>0.17</v>
      </c>
      <c r="B330" s="94">
        <v>1</v>
      </c>
      <c r="C330" s="94">
        <v>0</v>
      </c>
      <c r="D330" s="18"/>
      <c r="E330" s="18"/>
      <c r="F330" s="18"/>
      <c r="G330" s="18"/>
    </row>
    <row r="331" spans="1:7" hidden="1" outlineLevel="1" x14ac:dyDescent="0.2">
      <c r="A331" s="6">
        <v>0.34</v>
      </c>
      <c r="B331" s="94">
        <v>1</v>
      </c>
      <c r="C331" s="94">
        <v>0</v>
      </c>
      <c r="D331" s="18"/>
      <c r="E331" s="18"/>
      <c r="F331" s="18"/>
      <c r="G331" s="18"/>
    </row>
    <row r="332" spans="1:7" hidden="1" outlineLevel="1" x14ac:dyDescent="0.2">
      <c r="A332" s="6">
        <v>0.51</v>
      </c>
      <c r="B332" s="6">
        <v>1</v>
      </c>
      <c r="C332" s="6">
        <v>0.2</v>
      </c>
      <c r="D332" s="100"/>
      <c r="E332" s="100"/>
      <c r="F332" s="100"/>
      <c r="G332" s="100"/>
    </row>
    <row r="333" spans="1:7" hidden="1" outlineLevel="1" x14ac:dyDescent="0.2">
      <c r="A333" s="6">
        <v>0.68</v>
      </c>
      <c r="B333" s="94">
        <v>1</v>
      </c>
      <c r="C333" s="94">
        <v>0.4</v>
      </c>
      <c r="F333" s="41">
        <f t="shared" si="5"/>
        <v>0</v>
      </c>
    </row>
    <row r="334" spans="1:7" hidden="1" outlineLevel="1" x14ac:dyDescent="0.2">
      <c r="A334" s="6">
        <v>0.85</v>
      </c>
      <c r="B334" s="94">
        <v>1</v>
      </c>
      <c r="C334" s="6">
        <v>0.6</v>
      </c>
      <c r="F334" s="41">
        <f t="shared" si="5"/>
        <v>0</v>
      </c>
    </row>
    <row r="335" spans="1:7" hidden="1" outlineLevel="1" x14ac:dyDescent="0.2">
      <c r="A335" s="6">
        <v>1</v>
      </c>
      <c r="B335" s="94">
        <v>1</v>
      </c>
      <c r="C335" s="94">
        <v>0.8</v>
      </c>
      <c r="F335" s="41">
        <f t="shared" si="5"/>
        <v>0</v>
      </c>
    </row>
    <row r="336" spans="1:7" hidden="1" outlineLevel="1" x14ac:dyDescent="0.2">
      <c r="F336" s="41">
        <f t="shared" si="5"/>
        <v>0</v>
      </c>
    </row>
    <row r="337" spans="1:6" hidden="1" outlineLevel="1" x14ac:dyDescent="0.2">
      <c r="A337" t="s">
        <v>103</v>
      </c>
      <c r="F337" s="41">
        <f t="shared" si="5"/>
        <v>0</v>
      </c>
    </row>
    <row r="338" spans="1:6" hidden="1" outlineLevel="1" x14ac:dyDescent="0.2">
      <c r="A338" s="18" t="s">
        <v>99</v>
      </c>
      <c r="B338" s="6">
        <v>0.3</v>
      </c>
      <c r="C338" s="6">
        <v>0.25</v>
      </c>
      <c r="F338" s="41">
        <f t="shared" si="5"/>
        <v>0</v>
      </c>
    </row>
    <row r="339" spans="1:6" ht="10.15" hidden="1" customHeight="1" outlineLevel="1" x14ac:dyDescent="0.2">
      <c r="A339" s="101" t="s">
        <v>100</v>
      </c>
      <c r="B339" s="96">
        <v>0.4</v>
      </c>
      <c r="C339" s="6">
        <v>0.25</v>
      </c>
      <c r="F339" s="41">
        <f t="shared" si="5"/>
        <v>0</v>
      </c>
    </row>
    <row r="340" spans="1:6" hidden="1" outlineLevel="1" x14ac:dyDescent="0.2">
      <c r="A340" s="18" t="s">
        <v>107</v>
      </c>
      <c r="B340" s="6">
        <v>0.3</v>
      </c>
      <c r="C340" s="6">
        <v>0.25</v>
      </c>
      <c r="F340" s="41">
        <f t="shared" si="5"/>
        <v>0</v>
      </c>
    </row>
    <row r="341" spans="1:6" hidden="1" outlineLevel="1" x14ac:dyDescent="0.2">
      <c r="A341" s="18" t="s">
        <v>101</v>
      </c>
      <c r="C341" s="6">
        <v>0.25</v>
      </c>
      <c r="F341" s="41">
        <f t="shared" si="5"/>
        <v>0</v>
      </c>
    </row>
    <row r="342" spans="1:6" hidden="1" outlineLevel="1" x14ac:dyDescent="0.2">
      <c r="F342" s="41">
        <f t="shared" si="5"/>
        <v>0</v>
      </c>
    </row>
    <row r="343" spans="1:6" hidden="1" outlineLevel="1" x14ac:dyDescent="0.2">
      <c r="F343" s="41">
        <f t="shared" si="5"/>
        <v>0</v>
      </c>
    </row>
    <row r="344" spans="1:6" hidden="1" outlineLevel="1" x14ac:dyDescent="0.2">
      <c r="F344" s="41">
        <f t="shared" si="5"/>
        <v>0</v>
      </c>
    </row>
    <row r="345" spans="1:6" hidden="1" outlineLevel="1" x14ac:dyDescent="0.2">
      <c r="F345" s="41">
        <f t="shared" si="5"/>
        <v>0</v>
      </c>
    </row>
    <row r="346" spans="1:6" hidden="1" outlineLevel="1" x14ac:dyDescent="0.2">
      <c r="F346" s="41">
        <f t="shared" si="5"/>
        <v>0</v>
      </c>
    </row>
    <row r="347" spans="1:6" hidden="1" outlineLevel="1" x14ac:dyDescent="0.2">
      <c r="F347" s="41">
        <f t="shared" si="5"/>
        <v>0</v>
      </c>
    </row>
    <row r="348" spans="1:6" hidden="1" outlineLevel="1" x14ac:dyDescent="0.2">
      <c r="F348" s="41">
        <f t="shared" si="5"/>
        <v>0</v>
      </c>
    </row>
    <row r="349" spans="1:6" hidden="1" outlineLevel="1" x14ac:dyDescent="0.2">
      <c r="F349" s="41">
        <f t="shared" si="5"/>
        <v>0</v>
      </c>
    </row>
    <row r="350" spans="1:6" hidden="1" outlineLevel="1" x14ac:dyDescent="0.2">
      <c r="F350" s="41">
        <f t="shared" si="5"/>
        <v>0</v>
      </c>
    </row>
    <row r="351" spans="1:6" ht="12.75" customHeight="1" collapsed="1" x14ac:dyDescent="0.2">
      <c r="A351" s="168" t="str">
        <f>Eingaben!B50</f>
        <v>Internetanschlüsse für Personal</v>
      </c>
      <c r="B351" s="168"/>
      <c r="C351" s="168"/>
      <c r="D351" s="168"/>
      <c r="E351" s="4">
        <v>5</v>
      </c>
      <c r="F351" s="41">
        <f t="shared" si="5"/>
        <v>4.2735042735042734</v>
      </c>
    </row>
    <row r="352" spans="1:6" ht="35.25" hidden="1" customHeight="1" outlineLevel="1" x14ac:dyDescent="0.2">
      <c r="A352" s="10" t="str">
        <f>Eingaben!B53</f>
        <v>Anzahl Computer-Arbeitsplätze mit Internetanschluss in Prozent des Sollwertes</v>
      </c>
      <c r="B352" s="2" t="s">
        <v>7</v>
      </c>
      <c r="F352" s="41">
        <f t="shared" si="5"/>
        <v>0</v>
      </c>
    </row>
    <row r="353" spans="1:6" hidden="1" outlineLevel="1" x14ac:dyDescent="0.2">
      <c r="A353" s="6">
        <v>0</v>
      </c>
      <c r="B353" s="6">
        <v>0</v>
      </c>
      <c r="F353" s="41">
        <f t="shared" si="5"/>
        <v>0</v>
      </c>
    </row>
    <row r="354" spans="1:6" hidden="1" outlineLevel="1" x14ac:dyDescent="0.2">
      <c r="A354" s="6">
        <v>0.1</v>
      </c>
      <c r="B354" s="6">
        <v>0.1</v>
      </c>
      <c r="F354" s="41">
        <f t="shared" si="5"/>
        <v>0</v>
      </c>
    </row>
    <row r="355" spans="1:6" hidden="1" outlineLevel="1" x14ac:dyDescent="0.2">
      <c r="A355" s="6">
        <v>0.2</v>
      </c>
      <c r="B355" s="6">
        <v>0.2</v>
      </c>
      <c r="F355" s="41">
        <f t="shared" si="5"/>
        <v>0</v>
      </c>
    </row>
    <row r="356" spans="1:6" hidden="1" outlineLevel="1" x14ac:dyDescent="0.2">
      <c r="A356" s="6">
        <v>0.3</v>
      </c>
      <c r="B356" s="6">
        <v>0.3</v>
      </c>
      <c r="F356" s="41">
        <f t="shared" si="5"/>
        <v>0</v>
      </c>
    </row>
    <row r="357" spans="1:6" hidden="1" outlineLevel="1" x14ac:dyDescent="0.2">
      <c r="A357" s="6">
        <v>0.4</v>
      </c>
      <c r="B357" s="6">
        <v>0.4</v>
      </c>
      <c r="F357" s="41">
        <f t="shared" si="5"/>
        <v>0</v>
      </c>
    </row>
    <row r="358" spans="1:6" hidden="1" outlineLevel="1" x14ac:dyDescent="0.2">
      <c r="A358" s="6">
        <v>0.5</v>
      </c>
      <c r="B358" s="6">
        <v>0.5</v>
      </c>
      <c r="F358" s="41">
        <f t="shared" si="5"/>
        <v>0</v>
      </c>
    </row>
    <row r="359" spans="1:6" hidden="1" outlineLevel="1" x14ac:dyDescent="0.2">
      <c r="A359" s="6">
        <v>0.6</v>
      </c>
      <c r="B359" s="6">
        <v>0.6</v>
      </c>
      <c r="F359" s="41">
        <f t="shared" si="5"/>
        <v>0</v>
      </c>
    </row>
    <row r="360" spans="1:6" hidden="1" outlineLevel="1" x14ac:dyDescent="0.2">
      <c r="A360" s="6">
        <v>0.7</v>
      </c>
      <c r="B360" s="6">
        <v>0.7</v>
      </c>
      <c r="F360" s="41">
        <f t="shared" si="5"/>
        <v>0</v>
      </c>
    </row>
    <row r="361" spans="1:6" hidden="1" outlineLevel="1" x14ac:dyDescent="0.2">
      <c r="A361" s="6">
        <v>0.8</v>
      </c>
      <c r="B361" s="6">
        <v>0.8</v>
      </c>
      <c r="F361" s="41">
        <f t="shared" si="5"/>
        <v>0</v>
      </c>
    </row>
    <row r="362" spans="1:6" hidden="1" outlineLevel="1" x14ac:dyDescent="0.2">
      <c r="A362" s="6">
        <v>0.9</v>
      </c>
      <c r="B362" s="6">
        <v>0.9</v>
      </c>
      <c r="F362" s="41">
        <f t="shared" si="5"/>
        <v>0</v>
      </c>
    </row>
    <row r="363" spans="1:6" hidden="1" outlineLevel="1" x14ac:dyDescent="0.2">
      <c r="A363" s="6">
        <v>1</v>
      </c>
      <c r="B363" s="6">
        <v>1</v>
      </c>
      <c r="F363" s="41">
        <f t="shared" si="5"/>
        <v>0</v>
      </c>
    </row>
    <row r="364" spans="1:6" hidden="1" outlineLevel="1" x14ac:dyDescent="0.2">
      <c r="F364" s="41">
        <f t="shared" si="5"/>
        <v>0</v>
      </c>
    </row>
    <row r="365" spans="1:6" hidden="1" outlineLevel="1" x14ac:dyDescent="0.2">
      <c r="F365" s="41">
        <f t="shared" si="5"/>
        <v>0</v>
      </c>
    </row>
    <row r="366" spans="1:6" hidden="1" outlineLevel="1" x14ac:dyDescent="0.2">
      <c r="F366" s="41">
        <f t="shared" si="5"/>
        <v>0</v>
      </c>
    </row>
    <row r="367" spans="1:6" hidden="1" outlineLevel="1" x14ac:dyDescent="0.2">
      <c r="F367" s="41">
        <f t="shared" si="5"/>
        <v>0</v>
      </c>
    </row>
    <row r="368" spans="1:6" hidden="1" outlineLevel="1" x14ac:dyDescent="0.2">
      <c r="F368" s="41">
        <f t="shared" si="5"/>
        <v>0</v>
      </c>
    </row>
    <row r="369" spans="6:6" hidden="1" outlineLevel="1" x14ac:dyDescent="0.2">
      <c r="F369" s="41">
        <f t="shared" si="5"/>
        <v>0</v>
      </c>
    </row>
    <row r="370" spans="6:6" hidden="1" outlineLevel="1" x14ac:dyDescent="0.2">
      <c r="F370" s="41">
        <f t="shared" si="5"/>
        <v>0</v>
      </c>
    </row>
    <row r="371" spans="6:6" hidden="1" outlineLevel="1" x14ac:dyDescent="0.2">
      <c r="F371" s="41">
        <f t="shared" si="5"/>
        <v>0</v>
      </c>
    </row>
    <row r="372" spans="6:6" hidden="1" outlineLevel="1" x14ac:dyDescent="0.2">
      <c r="F372" s="41">
        <f t="shared" si="5"/>
        <v>0</v>
      </c>
    </row>
    <row r="373" spans="6:6" hidden="1" outlineLevel="1" x14ac:dyDescent="0.2">
      <c r="F373" s="41">
        <f t="shared" si="5"/>
        <v>0</v>
      </c>
    </row>
    <row r="374" spans="6:6" hidden="1" outlineLevel="1" x14ac:dyDescent="0.2">
      <c r="F374" s="41">
        <f t="shared" si="5"/>
        <v>0</v>
      </c>
    </row>
    <row r="375" spans="6:6" hidden="1" outlineLevel="1" x14ac:dyDescent="0.2">
      <c r="F375" s="41">
        <f t="shared" si="5"/>
        <v>0</v>
      </c>
    </row>
    <row r="376" spans="6:6" hidden="1" outlineLevel="1" x14ac:dyDescent="0.2">
      <c r="F376" s="41">
        <f t="shared" si="5"/>
        <v>0</v>
      </c>
    </row>
    <row r="377" spans="6:6" hidden="1" outlineLevel="1" x14ac:dyDescent="0.2">
      <c r="F377" s="41">
        <f t="shared" si="5"/>
        <v>0</v>
      </c>
    </row>
    <row r="378" spans="6:6" hidden="1" outlineLevel="1" x14ac:dyDescent="0.2">
      <c r="F378" s="41">
        <f t="shared" si="5"/>
        <v>0</v>
      </c>
    </row>
    <row r="379" spans="6:6" hidden="1" outlineLevel="1" x14ac:dyDescent="0.2">
      <c r="F379" s="41">
        <f t="shared" si="5"/>
        <v>0</v>
      </c>
    </row>
    <row r="380" spans="6:6" hidden="1" outlineLevel="1" x14ac:dyDescent="0.2">
      <c r="F380" s="41">
        <f t="shared" si="5"/>
        <v>0</v>
      </c>
    </row>
    <row r="381" spans="6:6" hidden="1" outlineLevel="1" x14ac:dyDescent="0.2">
      <c r="F381" s="41">
        <f t="shared" si="5"/>
        <v>0</v>
      </c>
    </row>
    <row r="382" spans="6:6" hidden="1" outlineLevel="1" x14ac:dyDescent="0.2">
      <c r="F382" s="41">
        <f t="shared" si="5"/>
        <v>0</v>
      </c>
    </row>
    <row r="383" spans="6:6" hidden="1" outlineLevel="1" x14ac:dyDescent="0.2">
      <c r="F383" s="41">
        <f t="shared" si="5"/>
        <v>0</v>
      </c>
    </row>
    <row r="384" spans="6:6" hidden="1" outlineLevel="1" x14ac:dyDescent="0.2">
      <c r="F384" s="41">
        <f t="shared" si="5"/>
        <v>0</v>
      </c>
    </row>
    <row r="385" spans="6:6" hidden="1" outlineLevel="1" x14ac:dyDescent="0.2">
      <c r="F385" s="41">
        <f t="shared" si="5"/>
        <v>0</v>
      </c>
    </row>
    <row r="386" spans="6:6" hidden="1" outlineLevel="1" x14ac:dyDescent="0.2">
      <c r="F386" s="41">
        <f t="shared" si="5"/>
        <v>0</v>
      </c>
    </row>
    <row r="387" spans="6:6" hidden="1" outlineLevel="1" x14ac:dyDescent="0.2">
      <c r="F387" s="41">
        <f t="shared" ref="F387:F450" si="6">E387/$E$750*100</f>
        <v>0</v>
      </c>
    </row>
    <row r="388" spans="6:6" hidden="1" outlineLevel="1" x14ac:dyDescent="0.2">
      <c r="F388" s="41">
        <f t="shared" si="6"/>
        <v>0</v>
      </c>
    </row>
    <row r="389" spans="6:6" hidden="1" outlineLevel="1" x14ac:dyDescent="0.2">
      <c r="F389" s="41">
        <f t="shared" si="6"/>
        <v>0</v>
      </c>
    </row>
    <row r="390" spans="6:6" hidden="1" outlineLevel="1" x14ac:dyDescent="0.2">
      <c r="F390" s="41">
        <f t="shared" si="6"/>
        <v>0</v>
      </c>
    </row>
    <row r="391" spans="6:6" hidden="1" outlineLevel="1" x14ac:dyDescent="0.2">
      <c r="F391" s="41">
        <f t="shared" si="6"/>
        <v>0</v>
      </c>
    </row>
    <row r="392" spans="6:6" hidden="1" outlineLevel="1" x14ac:dyDescent="0.2">
      <c r="F392" s="41">
        <f t="shared" si="6"/>
        <v>0</v>
      </c>
    </row>
    <row r="393" spans="6:6" hidden="1" outlineLevel="1" x14ac:dyDescent="0.2">
      <c r="F393" s="41">
        <f t="shared" si="6"/>
        <v>0</v>
      </c>
    </row>
    <row r="394" spans="6:6" hidden="1" outlineLevel="1" x14ac:dyDescent="0.2">
      <c r="F394" s="41">
        <f t="shared" si="6"/>
        <v>0</v>
      </c>
    </row>
    <row r="395" spans="6:6" hidden="1" outlineLevel="1" x14ac:dyDescent="0.2">
      <c r="F395" s="41">
        <f t="shared" si="6"/>
        <v>0</v>
      </c>
    </row>
    <row r="396" spans="6:6" hidden="1" outlineLevel="1" x14ac:dyDescent="0.2">
      <c r="F396" s="41">
        <f t="shared" si="6"/>
        <v>0</v>
      </c>
    </row>
    <row r="397" spans="6:6" hidden="1" outlineLevel="1" x14ac:dyDescent="0.2">
      <c r="F397" s="41">
        <f t="shared" si="6"/>
        <v>0</v>
      </c>
    </row>
    <row r="398" spans="6:6" hidden="1" outlineLevel="1" x14ac:dyDescent="0.2">
      <c r="F398" s="41">
        <f t="shared" si="6"/>
        <v>0</v>
      </c>
    </row>
    <row r="399" spans="6:6" hidden="1" outlineLevel="1" x14ac:dyDescent="0.2">
      <c r="F399" s="41">
        <f t="shared" si="6"/>
        <v>0</v>
      </c>
    </row>
    <row r="400" spans="6:6" hidden="1" outlineLevel="1" x14ac:dyDescent="0.2">
      <c r="F400" s="41">
        <f t="shared" si="6"/>
        <v>0</v>
      </c>
    </row>
    <row r="401" spans="1:6" ht="12.75" customHeight="1" collapsed="1" x14ac:dyDescent="0.2">
      <c r="A401" s="168" t="str">
        <f>Eingaben!B45</f>
        <v xml:space="preserve">Internetanschlüsse für Publikum </v>
      </c>
      <c r="B401" s="168"/>
      <c r="C401" s="168"/>
      <c r="D401" s="168"/>
      <c r="E401" s="4">
        <v>5</v>
      </c>
      <c r="F401" s="41">
        <f t="shared" si="6"/>
        <v>4.2735042735042734</v>
      </c>
    </row>
    <row r="402" spans="1:6" ht="22.5" hidden="1" outlineLevel="1" x14ac:dyDescent="0.2">
      <c r="A402" s="10" t="str">
        <f>Eingaben!B48</f>
        <v>Anzahl Publikums-Computer mit Internetanschlüssen in Prozent der Norm</v>
      </c>
      <c r="B402" s="2" t="s">
        <v>7</v>
      </c>
      <c r="F402" s="41">
        <f t="shared" si="6"/>
        <v>0</v>
      </c>
    </row>
    <row r="403" spans="1:6" hidden="1" outlineLevel="1" x14ac:dyDescent="0.2">
      <c r="A403" s="6">
        <v>0</v>
      </c>
      <c r="B403" s="6">
        <v>0</v>
      </c>
      <c r="F403" s="41">
        <f t="shared" si="6"/>
        <v>0</v>
      </c>
    </row>
    <row r="404" spans="1:6" hidden="1" outlineLevel="1" x14ac:dyDescent="0.2">
      <c r="A404" s="6">
        <v>0.1</v>
      </c>
      <c r="B404" s="6">
        <v>0.1</v>
      </c>
      <c r="F404" s="41">
        <f t="shared" si="6"/>
        <v>0</v>
      </c>
    </row>
    <row r="405" spans="1:6" hidden="1" outlineLevel="1" x14ac:dyDescent="0.2">
      <c r="A405" s="6">
        <v>0.2</v>
      </c>
      <c r="B405" s="6">
        <v>0.2</v>
      </c>
      <c r="F405" s="41">
        <f t="shared" si="6"/>
        <v>0</v>
      </c>
    </row>
    <row r="406" spans="1:6" hidden="1" outlineLevel="1" x14ac:dyDescent="0.2">
      <c r="A406" s="6">
        <v>0.3</v>
      </c>
      <c r="B406" s="6">
        <v>0.3</v>
      </c>
      <c r="F406" s="41">
        <f t="shared" si="6"/>
        <v>0</v>
      </c>
    </row>
    <row r="407" spans="1:6" hidden="1" outlineLevel="1" x14ac:dyDescent="0.2">
      <c r="A407" s="6">
        <v>0.4</v>
      </c>
      <c r="B407" s="6">
        <v>0.4</v>
      </c>
      <c r="F407" s="41">
        <f t="shared" si="6"/>
        <v>0</v>
      </c>
    </row>
    <row r="408" spans="1:6" hidden="1" outlineLevel="1" x14ac:dyDescent="0.2">
      <c r="A408" s="6">
        <v>0.5</v>
      </c>
      <c r="B408" s="6">
        <v>0.5</v>
      </c>
      <c r="F408" s="41">
        <f t="shared" si="6"/>
        <v>0</v>
      </c>
    </row>
    <row r="409" spans="1:6" hidden="1" outlineLevel="1" x14ac:dyDescent="0.2">
      <c r="A409" s="6">
        <v>0.6</v>
      </c>
      <c r="B409" s="6">
        <v>0.6</v>
      </c>
      <c r="F409" s="41">
        <f t="shared" si="6"/>
        <v>0</v>
      </c>
    </row>
    <row r="410" spans="1:6" hidden="1" outlineLevel="1" x14ac:dyDescent="0.2">
      <c r="A410" s="6">
        <v>0.7</v>
      </c>
      <c r="B410" s="6">
        <v>0.7</v>
      </c>
      <c r="F410" s="41">
        <f t="shared" si="6"/>
        <v>0</v>
      </c>
    </row>
    <row r="411" spans="1:6" hidden="1" outlineLevel="1" x14ac:dyDescent="0.2">
      <c r="A411" s="6">
        <v>0.8</v>
      </c>
      <c r="B411" s="6">
        <v>0.8</v>
      </c>
      <c r="F411" s="41">
        <f t="shared" si="6"/>
        <v>0</v>
      </c>
    </row>
    <row r="412" spans="1:6" hidden="1" outlineLevel="1" x14ac:dyDescent="0.2">
      <c r="A412" s="6">
        <v>0.9</v>
      </c>
      <c r="B412" s="6">
        <v>0.9</v>
      </c>
      <c r="F412" s="41">
        <f t="shared" si="6"/>
        <v>0</v>
      </c>
    </row>
    <row r="413" spans="1:6" hidden="1" outlineLevel="1" x14ac:dyDescent="0.2">
      <c r="A413" s="6">
        <v>1</v>
      </c>
      <c r="B413" s="6">
        <v>1</v>
      </c>
      <c r="F413" s="41">
        <f t="shared" si="6"/>
        <v>0</v>
      </c>
    </row>
    <row r="414" spans="1:6" hidden="1" outlineLevel="1" x14ac:dyDescent="0.2">
      <c r="F414" s="41">
        <f t="shared" si="6"/>
        <v>0</v>
      </c>
    </row>
    <row r="415" spans="1:6" hidden="1" outlineLevel="1" x14ac:dyDescent="0.2">
      <c r="F415" s="41">
        <f t="shared" si="6"/>
        <v>0</v>
      </c>
    </row>
    <row r="416" spans="1:6" hidden="1" outlineLevel="1" x14ac:dyDescent="0.2">
      <c r="F416" s="41">
        <f t="shared" si="6"/>
        <v>0</v>
      </c>
    </row>
    <row r="417" spans="6:6" hidden="1" outlineLevel="1" x14ac:dyDescent="0.2">
      <c r="F417" s="41">
        <f t="shared" si="6"/>
        <v>0</v>
      </c>
    </row>
    <row r="418" spans="6:6" hidden="1" outlineLevel="1" x14ac:dyDescent="0.2">
      <c r="F418" s="41">
        <f t="shared" si="6"/>
        <v>0</v>
      </c>
    </row>
    <row r="419" spans="6:6" hidden="1" outlineLevel="1" x14ac:dyDescent="0.2">
      <c r="F419" s="41">
        <f t="shared" si="6"/>
        <v>0</v>
      </c>
    </row>
    <row r="420" spans="6:6" hidden="1" outlineLevel="1" x14ac:dyDescent="0.2">
      <c r="F420" s="41">
        <f t="shared" si="6"/>
        <v>0</v>
      </c>
    </row>
    <row r="421" spans="6:6" hidden="1" outlineLevel="1" x14ac:dyDescent="0.2">
      <c r="F421" s="41">
        <f t="shared" si="6"/>
        <v>0</v>
      </c>
    </row>
    <row r="422" spans="6:6" hidden="1" outlineLevel="1" x14ac:dyDescent="0.2">
      <c r="F422" s="41">
        <f t="shared" si="6"/>
        <v>0</v>
      </c>
    </row>
    <row r="423" spans="6:6" hidden="1" outlineLevel="1" x14ac:dyDescent="0.2">
      <c r="F423" s="41">
        <f t="shared" si="6"/>
        <v>0</v>
      </c>
    </row>
    <row r="424" spans="6:6" hidden="1" outlineLevel="1" x14ac:dyDescent="0.2">
      <c r="F424" s="41">
        <f t="shared" si="6"/>
        <v>0</v>
      </c>
    </row>
    <row r="425" spans="6:6" hidden="1" outlineLevel="1" x14ac:dyDescent="0.2">
      <c r="F425" s="41">
        <f t="shared" si="6"/>
        <v>0</v>
      </c>
    </row>
    <row r="426" spans="6:6" hidden="1" outlineLevel="1" x14ac:dyDescent="0.2">
      <c r="F426" s="41">
        <f t="shared" si="6"/>
        <v>0</v>
      </c>
    </row>
    <row r="427" spans="6:6" hidden="1" outlineLevel="1" x14ac:dyDescent="0.2">
      <c r="F427" s="41">
        <f t="shared" si="6"/>
        <v>0</v>
      </c>
    </row>
    <row r="428" spans="6:6" hidden="1" outlineLevel="1" x14ac:dyDescent="0.2">
      <c r="F428" s="41">
        <f t="shared" si="6"/>
        <v>0</v>
      </c>
    </row>
    <row r="429" spans="6:6" hidden="1" outlineLevel="1" x14ac:dyDescent="0.2">
      <c r="F429" s="41">
        <f t="shared" si="6"/>
        <v>0</v>
      </c>
    </row>
    <row r="430" spans="6:6" hidden="1" outlineLevel="1" x14ac:dyDescent="0.2">
      <c r="F430" s="41">
        <f t="shared" si="6"/>
        <v>0</v>
      </c>
    </row>
    <row r="431" spans="6:6" hidden="1" outlineLevel="1" x14ac:dyDescent="0.2">
      <c r="F431" s="41">
        <f t="shared" si="6"/>
        <v>0</v>
      </c>
    </row>
    <row r="432" spans="6:6" hidden="1" outlineLevel="1" x14ac:dyDescent="0.2">
      <c r="F432" s="41">
        <f t="shared" si="6"/>
        <v>0</v>
      </c>
    </row>
    <row r="433" spans="6:6" hidden="1" outlineLevel="1" x14ac:dyDescent="0.2">
      <c r="F433" s="41">
        <f t="shared" si="6"/>
        <v>0</v>
      </c>
    </row>
    <row r="434" spans="6:6" hidden="1" outlineLevel="1" x14ac:dyDescent="0.2">
      <c r="F434" s="41">
        <f t="shared" si="6"/>
        <v>0</v>
      </c>
    </row>
    <row r="435" spans="6:6" hidden="1" outlineLevel="1" x14ac:dyDescent="0.2">
      <c r="F435" s="41">
        <f t="shared" si="6"/>
        <v>0</v>
      </c>
    </row>
    <row r="436" spans="6:6" hidden="1" outlineLevel="1" x14ac:dyDescent="0.2">
      <c r="F436" s="41">
        <f t="shared" si="6"/>
        <v>0</v>
      </c>
    </row>
    <row r="437" spans="6:6" hidden="1" outlineLevel="1" x14ac:dyDescent="0.2">
      <c r="F437" s="41">
        <f t="shared" si="6"/>
        <v>0</v>
      </c>
    </row>
    <row r="438" spans="6:6" hidden="1" outlineLevel="1" x14ac:dyDescent="0.2">
      <c r="F438" s="41">
        <f t="shared" si="6"/>
        <v>0</v>
      </c>
    </row>
    <row r="439" spans="6:6" hidden="1" outlineLevel="1" x14ac:dyDescent="0.2">
      <c r="F439" s="41">
        <f t="shared" si="6"/>
        <v>0</v>
      </c>
    </row>
    <row r="440" spans="6:6" hidden="1" outlineLevel="1" x14ac:dyDescent="0.2">
      <c r="F440" s="41">
        <f t="shared" si="6"/>
        <v>0</v>
      </c>
    </row>
    <row r="441" spans="6:6" hidden="1" outlineLevel="1" x14ac:dyDescent="0.2">
      <c r="F441" s="41">
        <f t="shared" si="6"/>
        <v>0</v>
      </c>
    </row>
    <row r="442" spans="6:6" hidden="1" outlineLevel="1" x14ac:dyDescent="0.2">
      <c r="F442" s="41">
        <f t="shared" si="6"/>
        <v>0</v>
      </c>
    </row>
    <row r="443" spans="6:6" hidden="1" outlineLevel="1" x14ac:dyDescent="0.2">
      <c r="F443" s="41">
        <f t="shared" si="6"/>
        <v>0</v>
      </c>
    </row>
    <row r="444" spans="6:6" hidden="1" outlineLevel="1" x14ac:dyDescent="0.2">
      <c r="F444" s="41">
        <f t="shared" si="6"/>
        <v>0</v>
      </c>
    </row>
    <row r="445" spans="6:6" hidden="1" outlineLevel="1" x14ac:dyDescent="0.2">
      <c r="F445" s="41">
        <f t="shared" si="6"/>
        <v>0</v>
      </c>
    </row>
    <row r="446" spans="6:6" hidden="1" outlineLevel="1" x14ac:dyDescent="0.2">
      <c r="F446" s="41">
        <f t="shared" si="6"/>
        <v>0</v>
      </c>
    </row>
    <row r="447" spans="6:6" hidden="1" outlineLevel="1" x14ac:dyDescent="0.2">
      <c r="F447" s="41">
        <f t="shared" si="6"/>
        <v>0</v>
      </c>
    </row>
    <row r="448" spans="6:6" hidden="1" outlineLevel="1" x14ac:dyDescent="0.2">
      <c r="F448" s="41">
        <f t="shared" si="6"/>
        <v>0</v>
      </c>
    </row>
    <row r="449" spans="1:6" hidden="1" outlineLevel="1" x14ac:dyDescent="0.2">
      <c r="F449" s="41">
        <f t="shared" si="6"/>
        <v>0</v>
      </c>
    </row>
    <row r="450" spans="1:6" hidden="1" outlineLevel="1" x14ac:dyDescent="0.2">
      <c r="F450" s="41">
        <f t="shared" si="6"/>
        <v>0</v>
      </c>
    </row>
    <row r="451" spans="1:6" ht="12.75" customHeight="1" collapsed="1" x14ac:dyDescent="0.2">
      <c r="A451" s="168" t="str">
        <f>Eingaben!B28</f>
        <v>Bibliothekarische Ausbildungsstufe</v>
      </c>
      <c r="B451" s="168"/>
      <c r="C451" s="168"/>
      <c r="D451" s="168"/>
      <c r="E451" s="4">
        <v>6</v>
      </c>
      <c r="F451" s="41">
        <f t="shared" ref="F451:F514" si="7">E451/$E$750*100</f>
        <v>5.1282051282051277</v>
      </c>
    </row>
    <row r="452" spans="1:6" ht="22.5" hidden="1" customHeight="1" outlineLevel="1" x14ac:dyDescent="0.2">
      <c r="A452" s="10"/>
      <c r="B452" s="2" t="s">
        <v>7</v>
      </c>
      <c r="F452" s="41">
        <f t="shared" si="7"/>
        <v>0</v>
      </c>
    </row>
    <row r="453" spans="1:6" hidden="1" outlineLevel="1" x14ac:dyDescent="0.2">
      <c r="A453" s="6" t="s">
        <v>69</v>
      </c>
      <c r="B453" s="6">
        <v>1</v>
      </c>
      <c r="F453" s="41">
        <f t="shared" si="7"/>
        <v>0</v>
      </c>
    </row>
    <row r="454" spans="1:6" hidden="1" outlineLevel="1" x14ac:dyDescent="0.2">
      <c r="A454" s="6" t="s">
        <v>95</v>
      </c>
      <c r="B454" s="6">
        <v>0</v>
      </c>
      <c r="F454" s="41">
        <f t="shared" si="7"/>
        <v>0</v>
      </c>
    </row>
    <row r="455" spans="1:6" hidden="1" outlineLevel="1" x14ac:dyDescent="0.2">
      <c r="A455" s="6" t="s">
        <v>65</v>
      </c>
      <c r="B455" s="6">
        <v>1</v>
      </c>
      <c r="F455" s="41">
        <f t="shared" si="7"/>
        <v>0</v>
      </c>
    </row>
    <row r="456" spans="1:6" hidden="1" outlineLevel="1" x14ac:dyDescent="0.2">
      <c r="A456" s="6" t="s">
        <v>78</v>
      </c>
      <c r="B456" s="6">
        <v>0.7</v>
      </c>
      <c r="F456" s="41">
        <f t="shared" si="7"/>
        <v>0</v>
      </c>
    </row>
    <row r="457" spans="1:6" hidden="1" outlineLevel="1" x14ac:dyDescent="0.2">
      <c r="A457" s="6" t="s">
        <v>66</v>
      </c>
      <c r="B457" s="6">
        <v>0.5</v>
      </c>
      <c r="F457" s="41">
        <f t="shared" si="7"/>
        <v>0</v>
      </c>
    </row>
    <row r="458" spans="1:6" hidden="1" outlineLevel="1" x14ac:dyDescent="0.2">
      <c r="A458" s="6" t="s">
        <v>79</v>
      </c>
      <c r="B458" s="6">
        <v>1</v>
      </c>
      <c r="F458" s="41">
        <f t="shared" si="7"/>
        <v>0</v>
      </c>
    </row>
    <row r="459" spans="1:6" hidden="1" outlineLevel="1" x14ac:dyDescent="0.2">
      <c r="F459" s="41">
        <f t="shared" si="7"/>
        <v>0</v>
      </c>
    </row>
    <row r="460" spans="1:6" hidden="1" outlineLevel="1" x14ac:dyDescent="0.2">
      <c r="F460" s="41">
        <f t="shared" si="7"/>
        <v>0</v>
      </c>
    </row>
    <row r="461" spans="1:6" hidden="1" outlineLevel="1" x14ac:dyDescent="0.2">
      <c r="F461" s="41">
        <f t="shared" si="7"/>
        <v>0</v>
      </c>
    </row>
    <row r="462" spans="1:6" hidden="1" outlineLevel="1" x14ac:dyDescent="0.2">
      <c r="A462" s="97"/>
      <c r="B462" s="2"/>
      <c r="F462" s="41">
        <f t="shared" si="7"/>
        <v>0</v>
      </c>
    </row>
    <row r="463" spans="1:6" hidden="1" outlineLevel="1" x14ac:dyDescent="0.2">
      <c r="F463" s="41">
        <f t="shared" si="7"/>
        <v>0</v>
      </c>
    </row>
    <row r="464" spans="1:6" hidden="1" outlineLevel="1" x14ac:dyDescent="0.2">
      <c r="A464" s="6" t="s">
        <v>90</v>
      </c>
      <c r="B464" s="6"/>
      <c r="F464" s="41">
        <f t="shared" si="7"/>
        <v>0</v>
      </c>
    </row>
    <row r="465" spans="1:6" hidden="1" outlineLevel="1" x14ac:dyDescent="0.2">
      <c r="A465" s="94" t="s">
        <v>94</v>
      </c>
      <c r="B465" s="6">
        <v>0.6</v>
      </c>
      <c r="F465" s="41">
        <f t="shared" si="7"/>
        <v>0</v>
      </c>
    </row>
    <row r="466" spans="1:6" ht="25.5" hidden="1" outlineLevel="1" x14ac:dyDescent="0.2">
      <c r="A466" s="95" t="s">
        <v>96</v>
      </c>
      <c r="B466" s="96">
        <v>0.4</v>
      </c>
      <c r="F466" s="41">
        <f t="shared" si="7"/>
        <v>0</v>
      </c>
    </row>
    <row r="467" spans="1:6" hidden="1" outlineLevel="1" x14ac:dyDescent="0.2">
      <c r="F467" s="41">
        <f t="shared" si="7"/>
        <v>0</v>
      </c>
    </row>
    <row r="468" spans="1:6" hidden="1" outlineLevel="1" x14ac:dyDescent="0.2">
      <c r="F468" s="41">
        <f t="shared" si="7"/>
        <v>0</v>
      </c>
    </row>
    <row r="469" spans="1:6" hidden="1" outlineLevel="1" x14ac:dyDescent="0.2">
      <c r="F469" s="41">
        <f t="shared" si="7"/>
        <v>0</v>
      </c>
    </row>
    <row r="470" spans="1:6" hidden="1" outlineLevel="1" x14ac:dyDescent="0.2">
      <c r="F470" s="41">
        <f t="shared" si="7"/>
        <v>0</v>
      </c>
    </row>
    <row r="471" spans="1:6" hidden="1" outlineLevel="1" x14ac:dyDescent="0.2">
      <c r="F471" s="41">
        <f t="shared" si="7"/>
        <v>0</v>
      </c>
    </row>
    <row r="472" spans="1:6" hidden="1" outlineLevel="1" x14ac:dyDescent="0.2">
      <c r="F472" s="41">
        <f t="shared" si="7"/>
        <v>0</v>
      </c>
    </row>
    <row r="473" spans="1:6" hidden="1" outlineLevel="1" x14ac:dyDescent="0.2">
      <c r="F473" s="41">
        <f t="shared" si="7"/>
        <v>0</v>
      </c>
    </row>
    <row r="474" spans="1:6" hidden="1" outlineLevel="1" x14ac:dyDescent="0.2">
      <c r="F474" s="41">
        <f t="shared" si="7"/>
        <v>0</v>
      </c>
    </row>
    <row r="475" spans="1:6" hidden="1" outlineLevel="1" x14ac:dyDescent="0.2">
      <c r="F475" s="41">
        <f t="shared" si="7"/>
        <v>0</v>
      </c>
    </row>
    <row r="476" spans="1:6" hidden="1" outlineLevel="1" x14ac:dyDescent="0.2">
      <c r="F476" s="41">
        <f t="shared" si="7"/>
        <v>0</v>
      </c>
    </row>
    <row r="477" spans="1:6" ht="42" hidden="1" customHeight="1" outlineLevel="1" x14ac:dyDescent="0.2">
      <c r="F477" s="41">
        <f t="shared" si="7"/>
        <v>0</v>
      </c>
    </row>
    <row r="478" spans="1:6" hidden="1" outlineLevel="1" x14ac:dyDescent="0.2">
      <c r="F478" s="41">
        <f t="shared" si="7"/>
        <v>0</v>
      </c>
    </row>
    <row r="479" spans="1:6" hidden="1" outlineLevel="1" x14ac:dyDescent="0.2">
      <c r="F479" s="41">
        <f t="shared" si="7"/>
        <v>0</v>
      </c>
    </row>
    <row r="480" spans="1:6" hidden="1" outlineLevel="1" x14ac:dyDescent="0.2">
      <c r="F480" s="41">
        <f t="shared" si="7"/>
        <v>0</v>
      </c>
    </row>
    <row r="481" spans="6:6" hidden="1" outlineLevel="1" x14ac:dyDescent="0.2">
      <c r="F481" s="41">
        <f t="shared" si="7"/>
        <v>0</v>
      </c>
    </row>
    <row r="482" spans="6:6" hidden="1" outlineLevel="1" x14ac:dyDescent="0.2">
      <c r="F482" s="41">
        <f t="shared" si="7"/>
        <v>0</v>
      </c>
    </row>
    <row r="483" spans="6:6" hidden="1" outlineLevel="1" x14ac:dyDescent="0.2">
      <c r="F483" s="41">
        <f t="shared" si="7"/>
        <v>0</v>
      </c>
    </row>
    <row r="484" spans="6:6" hidden="1" outlineLevel="1" x14ac:dyDescent="0.2">
      <c r="F484" s="41">
        <f t="shared" si="7"/>
        <v>0</v>
      </c>
    </row>
    <row r="485" spans="6:6" hidden="1" outlineLevel="1" x14ac:dyDescent="0.2">
      <c r="F485" s="41">
        <f t="shared" si="7"/>
        <v>0</v>
      </c>
    </row>
    <row r="486" spans="6:6" hidden="1" outlineLevel="1" x14ac:dyDescent="0.2">
      <c r="F486" s="41">
        <f t="shared" si="7"/>
        <v>0</v>
      </c>
    </row>
    <row r="487" spans="6:6" hidden="1" outlineLevel="1" x14ac:dyDescent="0.2">
      <c r="F487" s="41">
        <f t="shared" si="7"/>
        <v>0</v>
      </c>
    </row>
    <row r="488" spans="6:6" hidden="1" outlineLevel="1" x14ac:dyDescent="0.2">
      <c r="F488" s="41">
        <f t="shared" si="7"/>
        <v>0</v>
      </c>
    </row>
    <row r="489" spans="6:6" hidden="1" outlineLevel="1" x14ac:dyDescent="0.2">
      <c r="F489" s="41">
        <f t="shared" si="7"/>
        <v>0</v>
      </c>
    </row>
    <row r="490" spans="6:6" hidden="1" outlineLevel="1" x14ac:dyDescent="0.2">
      <c r="F490" s="41">
        <f t="shared" si="7"/>
        <v>0</v>
      </c>
    </row>
    <row r="491" spans="6:6" hidden="1" outlineLevel="1" x14ac:dyDescent="0.2">
      <c r="F491" s="41">
        <f t="shared" si="7"/>
        <v>0</v>
      </c>
    </row>
    <row r="492" spans="6:6" hidden="1" outlineLevel="1" x14ac:dyDescent="0.2">
      <c r="F492" s="41">
        <f t="shared" si="7"/>
        <v>0</v>
      </c>
    </row>
    <row r="493" spans="6:6" hidden="1" outlineLevel="1" x14ac:dyDescent="0.2">
      <c r="F493" s="41">
        <f t="shared" si="7"/>
        <v>0</v>
      </c>
    </row>
    <row r="494" spans="6:6" hidden="1" outlineLevel="1" x14ac:dyDescent="0.2">
      <c r="F494" s="41">
        <f t="shared" si="7"/>
        <v>0</v>
      </c>
    </row>
    <row r="495" spans="6:6" hidden="1" outlineLevel="1" x14ac:dyDescent="0.2">
      <c r="F495" s="41">
        <f t="shared" si="7"/>
        <v>0</v>
      </c>
    </row>
    <row r="496" spans="6:6" hidden="1" outlineLevel="1" x14ac:dyDescent="0.2">
      <c r="F496" s="41">
        <f t="shared" si="7"/>
        <v>0</v>
      </c>
    </row>
    <row r="497" spans="1:6" hidden="1" outlineLevel="1" x14ac:dyDescent="0.2">
      <c r="F497" s="41">
        <f t="shared" si="7"/>
        <v>0</v>
      </c>
    </row>
    <row r="498" spans="1:6" hidden="1" outlineLevel="1" x14ac:dyDescent="0.2">
      <c r="F498" s="41">
        <f t="shared" si="7"/>
        <v>0</v>
      </c>
    </row>
    <row r="499" spans="1:6" hidden="1" outlineLevel="1" x14ac:dyDescent="0.2">
      <c r="F499" s="41">
        <f t="shared" si="7"/>
        <v>0</v>
      </c>
    </row>
    <row r="500" spans="1:6" hidden="1" outlineLevel="1" x14ac:dyDescent="0.2">
      <c r="F500" s="41">
        <f t="shared" si="7"/>
        <v>0</v>
      </c>
    </row>
    <row r="501" spans="1:6" collapsed="1" x14ac:dyDescent="0.2">
      <c r="A501" s="170" t="str">
        <f>Eingaben!B21</f>
        <v>Personal</v>
      </c>
      <c r="B501" s="170"/>
      <c r="C501" s="170"/>
      <c r="D501" s="170"/>
      <c r="E501" s="4">
        <v>5</v>
      </c>
      <c r="F501" s="41">
        <f t="shared" si="7"/>
        <v>4.2735042735042734</v>
      </c>
    </row>
    <row r="502" spans="1:6" ht="27" hidden="1" customHeight="1" outlineLevel="1" x14ac:dyDescent="0.2">
      <c r="A502" s="10" t="str">
        <f>Eingaben!B24</f>
        <v>Vollzeitäquivalente in Prozent des Sollwertes</v>
      </c>
      <c r="B502" s="2" t="s">
        <v>7</v>
      </c>
      <c r="F502" s="41">
        <f t="shared" si="7"/>
        <v>0</v>
      </c>
    </row>
    <row r="503" spans="1:6" hidden="1" outlineLevel="1" x14ac:dyDescent="0.2">
      <c r="A503" s="6">
        <v>0</v>
      </c>
      <c r="B503" s="6">
        <v>0</v>
      </c>
      <c r="F503" s="41">
        <f t="shared" si="7"/>
        <v>0</v>
      </c>
    </row>
    <row r="504" spans="1:6" hidden="1" outlineLevel="1" x14ac:dyDescent="0.2">
      <c r="A504" s="6">
        <v>0.1</v>
      </c>
      <c r="B504" s="6">
        <v>0.1</v>
      </c>
      <c r="F504" s="41">
        <f t="shared" si="7"/>
        <v>0</v>
      </c>
    </row>
    <row r="505" spans="1:6" hidden="1" outlineLevel="1" x14ac:dyDescent="0.2">
      <c r="A505" s="6">
        <v>0.2</v>
      </c>
      <c r="B505" s="6">
        <v>0.2</v>
      </c>
      <c r="F505" s="41">
        <f t="shared" si="7"/>
        <v>0</v>
      </c>
    </row>
    <row r="506" spans="1:6" hidden="1" outlineLevel="1" x14ac:dyDescent="0.2">
      <c r="A506" s="6">
        <v>0.3</v>
      </c>
      <c r="B506" s="6">
        <v>0.3</v>
      </c>
      <c r="F506" s="41">
        <f t="shared" si="7"/>
        <v>0</v>
      </c>
    </row>
    <row r="507" spans="1:6" hidden="1" outlineLevel="1" x14ac:dyDescent="0.2">
      <c r="A507" s="6">
        <v>0.4</v>
      </c>
      <c r="B507" s="6">
        <v>0.4</v>
      </c>
      <c r="F507" s="41">
        <f t="shared" si="7"/>
        <v>0</v>
      </c>
    </row>
    <row r="508" spans="1:6" hidden="1" outlineLevel="1" x14ac:dyDescent="0.2">
      <c r="A508" s="6">
        <v>0.5</v>
      </c>
      <c r="B508" s="6">
        <v>0.5</v>
      </c>
      <c r="F508" s="41">
        <f t="shared" si="7"/>
        <v>0</v>
      </c>
    </row>
    <row r="509" spans="1:6" hidden="1" outlineLevel="1" x14ac:dyDescent="0.2">
      <c r="A509" s="6">
        <v>0.6</v>
      </c>
      <c r="B509" s="6">
        <v>0.6</v>
      </c>
      <c r="F509" s="41">
        <f t="shared" si="7"/>
        <v>0</v>
      </c>
    </row>
    <row r="510" spans="1:6" hidden="1" outlineLevel="1" x14ac:dyDescent="0.2">
      <c r="A510" s="6">
        <v>0.7</v>
      </c>
      <c r="B510" s="6">
        <v>0.7</v>
      </c>
      <c r="F510" s="41">
        <f t="shared" si="7"/>
        <v>0</v>
      </c>
    </row>
    <row r="511" spans="1:6" hidden="1" outlineLevel="1" x14ac:dyDescent="0.2">
      <c r="A511" s="6">
        <v>0.8</v>
      </c>
      <c r="B511" s="6">
        <v>0.8</v>
      </c>
      <c r="F511" s="41">
        <f t="shared" si="7"/>
        <v>0</v>
      </c>
    </row>
    <row r="512" spans="1:6" hidden="1" outlineLevel="1" x14ac:dyDescent="0.2">
      <c r="A512" s="6">
        <v>0.9</v>
      </c>
      <c r="B512" s="6">
        <v>0.9</v>
      </c>
      <c r="F512" s="41">
        <f t="shared" si="7"/>
        <v>0</v>
      </c>
    </row>
    <row r="513" spans="1:6" hidden="1" outlineLevel="1" x14ac:dyDescent="0.2">
      <c r="A513" s="6">
        <v>1</v>
      </c>
      <c r="B513" s="6">
        <v>1</v>
      </c>
      <c r="F513" s="41">
        <f t="shared" si="7"/>
        <v>0</v>
      </c>
    </row>
    <row r="514" spans="1:6" hidden="1" outlineLevel="1" x14ac:dyDescent="0.2">
      <c r="F514" s="41">
        <f t="shared" si="7"/>
        <v>0</v>
      </c>
    </row>
    <row r="515" spans="1:6" hidden="1" outlineLevel="1" x14ac:dyDescent="0.2">
      <c r="F515" s="41">
        <f t="shared" ref="F515:F578" si="8">E515/$E$750*100</f>
        <v>0</v>
      </c>
    </row>
    <row r="516" spans="1:6" hidden="1" outlineLevel="1" x14ac:dyDescent="0.2">
      <c r="F516" s="41">
        <f t="shared" si="8"/>
        <v>0</v>
      </c>
    </row>
    <row r="517" spans="1:6" ht="33.75" hidden="1" outlineLevel="1" x14ac:dyDescent="0.2">
      <c r="A517" s="9" t="str">
        <f>Eingaben!B25</f>
        <v>Stellenprozent der Leitungsperson in % (optimal mindestens 50% der tatsächlichen Vollzeitäquivalente, maximal 100 Stellenprozent)</v>
      </c>
      <c r="B517" s="89" t="s">
        <v>7</v>
      </c>
      <c r="F517" s="41">
        <f t="shared" si="8"/>
        <v>0</v>
      </c>
    </row>
    <row r="518" spans="1:6" hidden="1" outlineLevel="1" x14ac:dyDescent="0.2">
      <c r="A518" s="6">
        <v>0</v>
      </c>
      <c r="B518" s="6">
        <v>0</v>
      </c>
      <c r="F518" s="41">
        <f t="shared" si="8"/>
        <v>0</v>
      </c>
    </row>
    <row r="519" spans="1:6" hidden="1" outlineLevel="1" x14ac:dyDescent="0.2">
      <c r="A519" s="6">
        <v>0.1</v>
      </c>
      <c r="B519" s="6">
        <v>0.1</v>
      </c>
      <c r="F519" s="41">
        <f t="shared" si="8"/>
        <v>0</v>
      </c>
    </row>
    <row r="520" spans="1:6" hidden="1" outlineLevel="1" x14ac:dyDescent="0.2">
      <c r="A520" s="6">
        <v>0.2</v>
      </c>
      <c r="B520" s="6">
        <v>0.4</v>
      </c>
      <c r="F520" s="41">
        <f t="shared" si="8"/>
        <v>0</v>
      </c>
    </row>
    <row r="521" spans="1:6" hidden="1" outlineLevel="1" x14ac:dyDescent="0.2">
      <c r="A521" s="6">
        <v>0.35</v>
      </c>
      <c r="B521" s="6">
        <v>0.7</v>
      </c>
      <c r="F521" s="41">
        <f t="shared" si="8"/>
        <v>0</v>
      </c>
    </row>
    <row r="522" spans="1:6" hidden="1" outlineLevel="1" x14ac:dyDescent="0.2">
      <c r="A522" s="6">
        <v>0.45</v>
      </c>
      <c r="B522" s="6">
        <v>0.9</v>
      </c>
      <c r="F522" s="41">
        <f t="shared" si="8"/>
        <v>0</v>
      </c>
    </row>
    <row r="523" spans="1:6" hidden="1" outlineLevel="1" x14ac:dyDescent="0.2">
      <c r="A523" s="6">
        <v>0.5</v>
      </c>
      <c r="B523" s="6">
        <v>1</v>
      </c>
      <c r="F523" s="41">
        <f t="shared" si="8"/>
        <v>0</v>
      </c>
    </row>
    <row r="524" spans="1:6" hidden="1" outlineLevel="1" x14ac:dyDescent="0.2">
      <c r="A524" s="6"/>
      <c r="F524" s="41">
        <f t="shared" si="8"/>
        <v>0</v>
      </c>
    </row>
    <row r="525" spans="1:6" hidden="1" outlineLevel="1" x14ac:dyDescent="0.2">
      <c r="F525" s="41">
        <f t="shared" si="8"/>
        <v>0</v>
      </c>
    </row>
    <row r="526" spans="1:6" hidden="1" outlineLevel="1" x14ac:dyDescent="0.2">
      <c r="F526" s="41">
        <f t="shared" si="8"/>
        <v>0</v>
      </c>
    </row>
    <row r="527" spans="1:6" hidden="1" outlineLevel="1" x14ac:dyDescent="0.2">
      <c r="A527" s="90">
        <f>NormVorgaben!C95</f>
        <v>10</v>
      </c>
      <c r="B527" s="91">
        <f>A527*52/(42*52)</f>
        <v>0.23809523809523808</v>
      </c>
      <c r="F527" s="41">
        <f t="shared" si="8"/>
        <v>0</v>
      </c>
    </row>
    <row r="528" spans="1:6" ht="15" hidden="1" customHeight="1" outlineLevel="1" x14ac:dyDescent="0.2">
      <c r="A528" s="9" t="s">
        <v>89</v>
      </c>
      <c r="B528" s="89" t="s">
        <v>7</v>
      </c>
      <c r="F528" s="41">
        <f t="shared" si="8"/>
        <v>0</v>
      </c>
    </row>
    <row r="529" spans="1:6" hidden="1" outlineLevel="1" x14ac:dyDescent="0.2">
      <c r="A529">
        <v>0</v>
      </c>
      <c r="B529" s="6">
        <v>0</v>
      </c>
      <c r="F529" s="41">
        <f t="shared" si="8"/>
        <v>0</v>
      </c>
    </row>
    <row r="530" spans="1:6" hidden="1" outlineLevel="1" x14ac:dyDescent="0.2">
      <c r="A530">
        <v>4.2999999999999997E-2</v>
      </c>
      <c r="B530" s="6">
        <v>0.2</v>
      </c>
      <c r="F530" s="41">
        <f t="shared" si="8"/>
        <v>0</v>
      </c>
    </row>
    <row r="531" spans="1:6" hidden="1" outlineLevel="1" x14ac:dyDescent="0.2">
      <c r="A531">
        <v>6.7000000000000004E-2</v>
      </c>
      <c r="B531" s="6">
        <v>0.3</v>
      </c>
      <c r="F531" s="41">
        <f t="shared" si="8"/>
        <v>0</v>
      </c>
    </row>
    <row r="532" spans="1:6" hidden="1" outlineLevel="1" x14ac:dyDescent="0.2">
      <c r="A532">
        <v>9.0999999999999998E-2</v>
      </c>
      <c r="B532" s="6">
        <v>0.4</v>
      </c>
      <c r="F532" s="41">
        <f t="shared" si="8"/>
        <v>0</v>
      </c>
    </row>
    <row r="533" spans="1:6" hidden="1" outlineLevel="1" x14ac:dyDescent="0.2">
      <c r="A533">
        <v>0.115</v>
      </c>
      <c r="B533" s="6">
        <v>0.5</v>
      </c>
      <c r="F533" s="41">
        <f t="shared" si="8"/>
        <v>0</v>
      </c>
    </row>
    <row r="534" spans="1:6" hidden="1" outlineLevel="1" x14ac:dyDescent="0.2">
      <c r="A534">
        <v>0.13900000000000001</v>
      </c>
      <c r="B534" s="6">
        <v>0.6</v>
      </c>
      <c r="F534" s="41">
        <f t="shared" si="8"/>
        <v>0</v>
      </c>
    </row>
    <row r="535" spans="1:6" hidden="1" outlineLevel="1" x14ac:dyDescent="0.2">
      <c r="A535">
        <v>0.16300000000000001</v>
      </c>
      <c r="B535" s="6">
        <v>0.7</v>
      </c>
      <c r="F535" s="41">
        <f t="shared" si="8"/>
        <v>0</v>
      </c>
    </row>
    <row r="536" spans="1:6" hidden="1" outlineLevel="1" x14ac:dyDescent="0.2">
      <c r="A536">
        <v>0.187</v>
      </c>
      <c r="B536" s="6">
        <v>0.8</v>
      </c>
      <c r="F536" s="41">
        <f t="shared" si="8"/>
        <v>0</v>
      </c>
    </row>
    <row r="537" spans="1:6" hidden="1" outlineLevel="1" x14ac:dyDescent="0.2">
      <c r="A537">
        <v>0.21099999999999999</v>
      </c>
      <c r="B537" s="6">
        <v>0.9</v>
      </c>
      <c r="F537" s="41">
        <f t="shared" si="8"/>
        <v>0</v>
      </c>
    </row>
    <row r="538" spans="1:6" hidden="1" outlineLevel="1" x14ac:dyDescent="0.2">
      <c r="A538">
        <v>0.23499999999999999</v>
      </c>
      <c r="B538" s="6">
        <v>1</v>
      </c>
      <c r="F538" s="41">
        <f t="shared" si="8"/>
        <v>0</v>
      </c>
    </row>
    <row r="539" spans="1:6" hidden="1" outlineLevel="1" x14ac:dyDescent="0.2">
      <c r="F539" s="41">
        <f t="shared" si="8"/>
        <v>0</v>
      </c>
    </row>
    <row r="540" spans="1:6" hidden="1" outlineLevel="1" x14ac:dyDescent="0.2">
      <c r="F540" s="41">
        <f t="shared" si="8"/>
        <v>0</v>
      </c>
    </row>
    <row r="541" spans="1:6" hidden="1" outlineLevel="1" x14ac:dyDescent="0.2">
      <c r="A541" t="s">
        <v>90</v>
      </c>
      <c r="F541" s="41">
        <f t="shared" si="8"/>
        <v>0</v>
      </c>
    </row>
    <row r="542" spans="1:6" hidden="1" outlineLevel="1" x14ac:dyDescent="0.2">
      <c r="A542" s="18" t="s">
        <v>91</v>
      </c>
      <c r="B542" s="6">
        <v>0.5</v>
      </c>
      <c r="F542" s="41">
        <f t="shared" si="8"/>
        <v>0</v>
      </c>
    </row>
    <row r="543" spans="1:6" hidden="1" outlineLevel="1" x14ac:dyDescent="0.2">
      <c r="A543" s="18" t="s">
        <v>92</v>
      </c>
      <c r="B543" s="6">
        <v>0.25</v>
      </c>
      <c r="F543" s="41">
        <f t="shared" si="8"/>
        <v>0</v>
      </c>
    </row>
    <row r="544" spans="1:6" hidden="1" outlineLevel="1" x14ac:dyDescent="0.2">
      <c r="A544" s="18" t="s">
        <v>93</v>
      </c>
      <c r="B544" s="6">
        <v>0.25</v>
      </c>
      <c r="F544" s="41">
        <f t="shared" si="8"/>
        <v>0</v>
      </c>
    </row>
    <row r="545" spans="1:6" hidden="1" outlineLevel="1" x14ac:dyDescent="0.2">
      <c r="F545" s="41">
        <f t="shared" si="8"/>
        <v>0</v>
      </c>
    </row>
    <row r="546" spans="1:6" hidden="1" outlineLevel="1" x14ac:dyDescent="0.2">
      <c r="F546" s="41">
        <f t="shared" si="8"/>
        <v>0</v>
      </c>
    </row>
    <row r="547" spans="1:6" hidden="1" outlineLevel="1" x14ac:dyDescent="0.2">
      <c r="F547" s="41">
        <f t="shared" si="8"/>
        <v>0</v>
      </c>
    </row>
    <row r="548" spans="1:6" hidden="1" outlineLevel="1" x14ac:dyDescent="0.2">
      <c r="F548" s="41">
        <f t="shared" si="8"/>
        <v>0</v>
      </c>
    </row>
    <row r="549" spans="1:6" hidden="1" outlineLevel="1" x14ac:dyDescent="0.2">
      <c r="F549" s="41">
        <f t="shared" si="8"/>
        <v>0</v>
      </c>
    </row>
    <row r="550" spans="1:6" hidden="1" outlineLevel="1" x14ac:dyDescent="0.2">
      <c r="F550" s="41">
        <f t="shared" si="8"/>
        <v>0</v>
      </c>
    </row>
    <row r="551" spans="1:6" ht="12.75" customHeight="1" collapsed="1" x14ac:dyDescent="0.2">
      <c r="A551" s="169" t="str">
        <f>Eingaben!B95</f>
        <v>Zusammenarbeit der Hier klicken+Typ auswählen! mit der Schule</v>
      </c>
      <c r="B551" s="168"/>
      <c r="C551" s="168"/>
      <c r="D551" s="168"/>
      <c r="E551" s="4">
        <f>IF(Eingaben!C12="Gemeindebibliothek",12,6)</f>
        <v>6</v>
      </c>
      <c r="F551" s="41">
        <f t="shared" si="8"/>
        <v>5.1282051282051277</v>
      </c>
    </row>
    <row r="552" spans="1:6" hidden="1" outlineLevel="1" x14ac:dyDescent="0.2">
      <c r="A552" s="1"/>
      <c r="B552" s="2"/>
      <c r="F552" s="41">
        <f t="shared" si="8"/>
        <v>0</v>
      </c>
    </row>
    <row r="553" spans="1:6" hidden="1" outlineLevel="1" x14ac:dyDescent="0.2">
      <c r="A553" s="6" t="s">
        <v>90</v>
      </c>
      <c r="B553" s="6" t="s">
        <v>130</v>
      </c>
      <c r="C553" t="s">
        <v>131</v>
      </c>
      <c r="F553" s="41">
        <f t="shared" si="8"/>
        <v>0</v>
      </c>
    </row>
    <row r="554" spans="1:6" ht="38.25" hidden="1" outlineLevel="1" x14ac:dyDescent="0.2">
      <c r="A554" s="95" t="str">
        <f>Eingaben!B96</f>
        <v>Einführungen von Klassen in einer öffentlichen Bibliothek (Sollwert: mindestens 1 x pro Jahr und Klasse)</v>
      </c>
      <c r="B554" s="6">
        <v>0.4</v>
      </c>
      <c r="C554" s="6">
        <v>0.4</v>
      </c>
      <c r="F554" s="41">
        <f t="shared" si="8"/>
        <v>0</v>
      </c>
    </row>
    <row r="555" spans="1:6" ht="82.15" hidden="1" customHeight="1" outlineLevel="1" x14ac:dyDescent="0.2">
      <c r="A555" s="105" t="str">
        <f>Eingaben!B99</f>
        <v>Besuch von Bibliothekarinnen der öffentlichen Bibliothek in der Schule oder Besuch von Lehr- oder Mediothekspersonen in GB/GSB (z.B: Vorstellen des Bestandes der öffentlichen Bibliothek, Neuerscheinungen, Bücherlisten, Recherchetechniken etc.)</v>
      </c>
      <c r="B555" s="6">
        <v>0.12</v>
      </c>
      <c r="C555" s="110">
        <v>0.15</v>
      </c>
      <c r="F555" s="41">
        <f t="shared" si="8"/>
        <v>0</v>
      </c>
    </row>
    <row r="556" spans="1:6" ht="38.25" hidden="1" outlineLevel="1" x14ac:dyDescent="0.2">
      <c r="A556" s="105" t="str">
        <f>Eingaben!B100</f>
        <v>Absprache bezüglich Bestand / Neuanschaffungen mit den Schulen (Mindestens 1 x pro Jahr)</v>
      </c>
      <c r="B556" s="6">
        <v>0.12</v>
      </c>
      <c r="C556" s="110">
        <v>0.15</v>
      </c>
      <c r="F556" s="41">
        <f t="shared" si="8"/>
        <v>0</v>
      </c>
    </row>
    <row r="557" spans="1:6" ht="39.6" hidden="1" customHeight="1" outlineLevel="1" x14ac:dyDescent="0.2">
      <c r="A557" s="105" t="str">
        <f>Eingaben!B101</f>
        <v>Mitarbeit von Personen der öffentlichen Bibliothek in der Schulbibliothek</v>
      </c>
      <c r="B557" s="6">
        <v>0.12</v>
      </c>
      <c r="C557" s="110"/>
      <c r="F557" s="41">
        <f t="shared" si="8"/>
        <v>0</v>
      </c>
    </row>
    <row r="558" spans="1:6" ht="25.5" hidden="1" outlineLevel="1" x14ac:dyDescent="0.2">
      <c r="A558" s="105" t="str">
        <f>Eingaben!B102</f>
        <v>Bestand der öffentlichen Bibliothek in der Schule abrufbar</v>
      </c>
      <c r="B558" s="6">
        <v>0.12</v>
      </c>
      <c r="C558" s="110">
        <v>0.15</v>
      </c>
      <c r="F558" s="41">
        <f t="shared" si="8"/>
        <v>0</v>
      </c>
    </row>
    <row r="559" spans="1:6" ht="38.25" hidden="1" outlineLevel="1" x14ac:dyDescent="0.2">
      <c r="A559" s="105" t="str">
        <f>Eingaben!B103</f>
        <v>Gemeinsame Veranstaltungen der Schule mit der Bibliothek (Autorenlesungen, Präsentationen von Medien usw.)</v>
      </c>
      <c r="B559" s="6">
        <v>0.12</v>
      </c>
      <c r="C559" s="110">
        <v>0.15</v>
      </c>
      <c r="F559" s="41">
        <f t="shared" si="8"/>
        <v>0</v>
      </c>
    </row>
    <row r="560" spans="1:6" hidden="1" outlineLevel="1" x14ac:dyDescent="0.2">
      <c r="A560" t="s">
        <v>43</v>
      </c>
      <c r="B560" s="40">
        <f>SUM(B554:B559)</f>
        <v>1</v>
      </c>
      <c r="C560" s="40">
        <f>SUM(C554:C559)</f>
        <v>1</v>
      </c>
      <c r="F560" s="41">
        <f t="shared" si="8"/>
        <v>0</v>
      </c>
    </row>
    <row r="561" spans="1:6" hidden="1" outlineLevel="1" x14ac:dyDescent="0.2">
      <c r="A561" s="6"/>
      <c r="B561" s="6"/>
      <c r="F561" s="41">
        <f t="shared" si="8"/>
        <v>0</v>
      </c>
    </row>
    <row r="562" spans="1:6" hidden="1" outlineLevel="1" x14ac:dyDescent="0.2">
      <c r="A562" s="6"/>
      <c r="B562" s="6"/>
      <c r="F562" s="41">
        <f t="shared" si="8"/>
        <v>0</v>
      </c>
    </row>
    <row r="563" spans="1:6" hidden="1" outlineLevel="1" x14ac:dyDescent="0.2">
      <c r="A563" s="6"/>
      <c r="B563" s="6"/>
      <c r="F563" s="41">
        <f t="shared" si="8"/>
        <v>0</v>
      </c>
    </row>
    <row r="564" spans="1:6" hidden="1" outlineLevel="1" x14ac:dyDescent="0.2">
      <c r="F564" s="41">
        <f t="shared" si="8"/>
        <v>0</v>
      </c>
    </row>
    <row r="565" spans="1:6" hidden="1" outlineLevel="1" x14ac:dyDescent="0.2">
      <c r="A565" s="106"/>
      <c r="B565" s="2" t="s">
        <v>7</v>
      </c>
      <c r="F565" s="41">
        <f t="shared" si="8"/>
        <v>0</v>
      </c>
    </row>
    <row r="566" spans="1:6" hidden="1" outlineLevel="1" x14ac:dyDescent="0.2">
      <c r="A566" s="6">
        <v>0</v>
      </c>
      <c r="B566" s="6">
        <v>0</v>
      </c>
      <c r="F566" s="41">
        <f t="shared" si="8"/>
        <v>0</v>
      </c>
    </row>
    <row r="567" spans="1:6" hidden="1" outlineLevel="1" x14ac:dyDescent="0.2">
      <c r="A567" s="6">
        <v>0.1</v>
      </c>
      <c r="B567" s="6">
        <v>0.05</v>
      </c>
      <c r="F567" s="41">
        <f t="shared" si="8"/>
        <v>0</v>
      </c>
    </row>
    <row r="568" spans="1:6" hidden="1" outlineLevel="1" x14ac:dyDescent="0.2">
      <c r="A568" s="6">
        <v>0.2</v>
      </c>
      <c r="B568" s="6">
        <v>0.2</v>
      </c>
      <c r="F568" s="41">
        <f t="shared" si="8"/>
        <v>0</v>
      </c>
    </row>
    <row r="569" spans="1:6" hidden="1" outlineLevel="1" x14ac:dyDescent="0.2">
      <c r="A569" s="6">
        <v>0.3</v>
      </c>
      <c r="B569" s="6">
        <v>0.35</v>
      </c>
      <c r="F569" s="41">
        <f t="shared" si="8"/>
        <v>0</v>
      </c>
    </row>
    <row r="570" spans="1:6" hidden="1" outlineLevel="1" x14ac:dyDescent="0.2">
      <c r="A570" s="6">
        <v>0.4</v>
      </c>
      <c r="B570" s="6">
        <v>0.5</v>
      </c>
      <c r="F570" s="41">
        <f t="shared" si="8"/>
        <v>0</v>
      </c>
    </row>
    <row r="571" spans="1:6" hidden="1" outlineLevel="1" x14ac:dyDescent="0.2">
      <c r="A571" s="6">
        <v>0.5</v>
      </c>
      <c r="B571" s="6">
        <v>0.65</v>
      </c>
      <c r="F571" s="41">
        <f t="shared" si="8"/>
        <v>0</v>
      </c>
    </row>
    <row r="572" spans="1:6" hidden="1" outlineLevel="1" x14ac:dyDescent="0.2">
      <c r="A572" s="6">
        <v>0.6</v>
      </c>
      <c r="B572" s="6">
        <v>0.8</v>
      </c>
      <c r="F572" s="41">
        <f t="shared" si="8"/>
        <v>0</v>
      </c>
    </row>
    <row r="573" spans="1:6" hidden="1" outlineLevel="1" x14ac:dyDescent="0.2">
      <c r="A573" s="6">
        <v>0.7</v>
      </c>
      <c r="B573" s="6">
        <v>0.85</v>
      </c>
      <c r="F573" s="41">
        <f t="shared" si="8"/>
        <v>0</v>
      </c>
    </row>
    <row r="574" spans="1:6" hidden="1" outlineLevel="1" x14ac:dyDescent="0.2">
      <c r="A574" s="6">
        <v>0.8</v>
      </c>
      <c r="B574" s="6">
        <v>0.9</v>
      </c>
      <c r="F574" s="41">
        <f t="shared" si="8"/>
        <v>0</v>
      </c>
    </row>
    <row r="575" spans="1:6" hidden="1" outlineLevel="1" x14ac:dyDescent="0.2">
      <c r="A575" s="6">
        <v>0.9</v>
      </c>
      <c r="B575" s="6">
        <v>0.95</v>
      </c>
      <c r="F575" s="41">
        <f t="shared" si="8"/>
        <v>0</v>
      </c>
    </row>
    <row r="576" spans="1:6" hidden="1" outlineLevel="1" x14ac:dyDescent="0.2">
      <c r="A576" s="6">
        <v>1</v>
      </c>
      <c r="B576" s="6">
        <v>1</v>
      </c>
      <c r="F576" s="41">
        <f t="shared" si="8"/>
        <v>0</v>
      </c>
    </row>
    <row r="577" spans="6:6" hidden="1" outlineLevel="1" x14ac:dyDescent="0.2">
      <c r="F577" s="41">
        <f t="shared" si="8"/>
        <v>0</v>
      </c>
    </row>
    <row r="578" spans="6:6" hidden="1" outlineLevel="1" x14ac:dyDescent="0.2">
      <c r="F578" s="41">
        <f t="shared" si="8"/>
        <v>0</v>
      </c>
    </row>
    <row r="579" spans="6:6" hidden="1" outlineLevel="1" x14ac:dyDescent="0.2">
      <c r="F579" s="41">
        <f t="shared" ref="F579:F642" si="9">E579/$E$750*100</f>
        <v>0</v>
      </c>
    </row>
    <row r="580" spans="6:6" hidden="1" outlineLevel="1" x14ac:dyDescent="0.2">
      <c r="F580" s="41">
        <f t="shared" si="9"/>
        <v>0</v>
      </c>
    </row>
    <row r="581" spans="6:6" hidden="1" outlineLevel="1" x14ac:dyDescent="0.2">
      <c r="F581" s="41">
        <f t="shared" si="9"/>
        <v>0</v>
      </c>
    </row>
    <row r="582" spans="6:6" hidden="1" outlineLevel="1" x14ac:dyDescent="0.2">
      <c r="F582" s="41">
        <f t="shared" si="9"/>
        <v>0</v>
      </c>
    </row>
    <row r="583" spans="6:6" hidden="1" outlineLevel="1" x14ac:dyDescent="0.2">
      <c r="F583" s="41">
        <f t="shared" si="9"/>
        <v>0</v>
      </c>
    </row>
    <row r="584" spans="6:6" hidden="1" outlineLevel="1" x14ac:dyDescent="0.2">
      <c r="F584" s="41">
        <f t="shared" si="9"/>
        <v>0</v>
      </c>
    </row>
    <row r="585" spans="6:6" hidden="1" outlineLevel="1" x14ac:dyDescent="0.2">
      <c r="F585" s="41">
        <f t="shared" si="9"/>
        <v>0</v>
      </c>
    </row>
    <row r="586" spans="6:6" hidden="1" outlineLevel="1" x14ac:dyDescent="0.2">
      <c r="F586" s="41">
        <f t="shared" si="9"/>
        <v>0</v>
      </c>
    </row>
    <row r="587" spans="6:6" hidden="1" outlineLevel="1" x14ac:dyDescent="0.2">
      <c r="F587" s="41">
        <f t="shared" si="9"/>
        <v>0</v>
      </c>
    </row>
    <row r="588" spans="6:6" hidden="1" outlineLevel="1" x14ac:dyDescent="0.2">
      <c r="F588" s="41">
        <f t="shared" si="9"/>
        <v>0</v>
      </c>
    </row>
    <row r="589" spans="6:6" hidden="1" outlineLevel="1" x14ac:dyDescent="0.2">
      <c r="F589" s="41">
        <f t="shared" si="9"/>
        <v>0</v>
      </c>
    </row>
    <row r="590" spans="6:6" hidden="1" outlineLevel="1" x14ac:dyDescent="0.2">
      <c r="F590" s="41">
        <f t="shared" si="9"/>
        <v>0</v>
      </c>
    </row>
    <row r="591" spans="6:6" hidden="1" outlineLevel="1" x14ac:dyDescent="0.2">
      <c r="F591" s="41">
        <f t="shared" si="9"/>
        <v>0</v>
      </c>
    </row>
    <row r="592" spans="6:6" hidden="1" outlineLevel="1" x14ac:dyDescent="0.2">
      <c r="F592" s="41">
        <f t="shared" si="9"/>
        <v>0</v>
      </c>
    </row>
    <row r="593" spans="1:6" hidden="1" outlineLevel="1" x14ac:dyDescent="0.2">
      <c r="F593" s="41">
        <f t="shared" si="9"/>
        <v>0</v>
      </c>
    </row>
    <row r="594" spans="1:6" hidden="1" outlineLevel="1" x14ac:dyDescent="0.2">
      <c r="F594" s="41">
        <f t="shared" si="9"/>
        <v>0</v>
      </c>
    </row>
    <row r="595" spans="1:6" hidden="1" outlineLevel="1" x14ac:dyDescent="0.2">
      <c r="F595" s="41">
        <f t="shared" si="9"/>
        <v>0</v>
      </c>
    </row>
    <row r="596" spans="1:6" hidden="1" outlineLevel="1" x14ac:dyDescent="0.2">
      <c r="F596" s="41">
        <f t="shared" si="9"/>
        <v>0</v>
      </c>
    </row>
    <row r="597" spans="1:6" hidden="1" outlineLevel="1" x14ac:dyDescent="0.2">
      <c r="F597" s="41">
        <f t="shared" si="9"/>
        <v>0</v>
      </c>
    </row>
    <row r="598" spans="1:6" hidden="1" outlineLevel="1" x14ac:dyDescent="0.2">
      <c r="F598" s="41">
        <f t="shared" si="9"/>
        <v>0</v>
      </c>
    </row>
    <row r="599" spans="1:6" hidden="1" outlineLevel="1" x14ac:dyDescent="0.2">
      <c r="F599" s="41">
        <f t="shared" si="9"/>
        <v>0</v>
      </c>
    </row>
    <row r="600" spans="1:6" hidden="1" outlineLevel="1" x14ac:dyDescent="0.2">
      <c r="F600" s="41">
        <f t="shared" si="9"/>
        <v>0</v>
      </c>
    </row>
    <row r="601" spans="1:6" ht="12.75" customHeight="1" collapsed="1" x14ac:dyDescent="0.2">
      <c r="A601" s="168" t="str">
        <f>Eingaben!B105</f>
        <v>Basisinformation über Gemeindewebsite</v>
      </c>
      <c r="B601" s="168"/>
      <c r="C601" s="168"/>
      <c r="D601" s="168"/>
      <c r="E601" s="4">
        <v>2</v>
      </c>
      <c r="F601" s="41">
        <f t="shared" si="9"/>
        <v>1.7094017094017095</v>
      </c>
    </row>
    <row r="602" spans="1:6" hidden="1" outlineLevel="1" x14ac:dyDescent="0.2">
      <c r="A602" s="10"/>
      <c r="B602" s="2"/>
      <c r="F602" s="41">
        <f t="shared" si="9"/>
        <v>0</v>
      </c>
    </row>
    <row r="603" spans="1:6" hidden="1" outlineLevel="1" x14ac:dyDescent="0.2">
      <c r="A603" s="6" t="s">
        <v>90</v>
      </c>
      <c r="B603" s="6"/>
      <c r="F603" s="41">
        <f t="shared" si="9"/>
        <v>0</v>
      </c>
    </row>
    <row r="604" spans="1:6" hidden="1" outlineLevel="1" x14ac:dyDescent="0.2">
      <c r="A604" s="94" t="s">
        <v>81</v>
      </c>
      <c r="B604" s="6">
        <v>0.6</v>
      </c>
      <c r="F604" s="41">
        <f t="shared" si="9"/>
        <v>0</v>
      </c>
    </row>
    <row r="605" spans="1:6" hidden="1" outlineLevel="1" x14ac:dyDescent="0.2">
      <c r="A605" s="94" t="s">
        <v>80</v>
      </c>
      <c r="B605" s="6">
        <v>1</v>
      </c>
      <c r="F605" s="41">
        <f t="shared" si="9"/>
        <v>0</v>
      </c>
    </row>
    <row r="606" spans="1:6" hidden="1" outlineLevel="1" x14ac:dyDescent="0.2">
      <c r="A606" s="6"/>
      <c r="B606" s="6"/>
      <c r="F606" s="41">
        <f t="shared" si="9"/>
        <v>0</v>
      </c>
    </row>
    <row r="607" spans="1:6" hidden="1" outlineLevel="1" x14ac:dyDescent="0.2">
      <c r="A607" s="6"/>
      <c r="B607" s="6"/>
      <c r="F607" s="41">
        <f t="shared" si="9"/>
        <v>0</v>
      </c>
    </row>
    <row r="608" spans="1:6" hidden="1" outlineLevel="1" x14ac:dyDescent="0.2">
      <c r="A608" s="6"/>
      <c r="B608" s="6"/>
      <c r="F608" s="41">
        <f t="shared" si="9"/>
        <v>0</v>
      </c>
    </row>
    <row r="609" spans="1:6" hidden="1" outlineLevel="1" x14ac:dyDescent="0.2">
      <c r="A609" s="6"/>
      <c r="B609" s="6"/>
      <c r="F609" s="41">
        <f t="shared" si="9"/>
        <v>0</v>
      </c>
    </row>
    <row r="610" spans="1:6" hidden="1" outlineLevel="1" x14ac:dyDescent="0.2">
      <c r="A610" s="6"/>
      <c r="B610" s="6"/>
      <c r="F610" s="41">
        <f t="shared" si="9"/>
        <v>0</v>
      </c>
    </row>
    <row r="611" spans="1:6" hidden="1" outlineLevel="1" x14ac:dyDescent="0.2">
      <c r="A611" s="6"/>
      <c r="B611" s="6"/>
      <c r="F611" s="41">
        <f t="shared" si="9"/>
        <v>0</v>
      </c>
    </row>
    <row r="612" spans="1:6" hidden="1" outlineLevel="1" x14ac:dyDescent="0.2">
      <c r="A612" s="6"/>
      <c r="B612" s="6"/>
      <c r="F612" s="41">
        <f t="shared" si="9"/>
        <v>0</v>
      </c>
    </row>
    <row r="613" spans="1:6" hidden="1" outlineLevel="1" x14ac:dyDescent="0.2">
      <c r="A613" s="6"/>
      <c r="B613" s="6"/>
      <c r="F613" s="41">
        <f t="shared" si="9"/>
        <v>0</v>
      </c>
    </row>
    <row r="614" spans="1:6" hidden="1" outlineLevel="1" x14ac:dyDescent="0.2">
      <c r="F614" s="41">
        <f t="shared" si="9"/>
        <v>0</v>
      </c>
    </row>
    <row r="615" spans="1:6" hidden="1" outlineLevel="1" x14ac:dyDescent="0.2">
      <c r="F615" s="41">
        <f t="shared" si="9"/>
        <v>0</v>
      </c>
    </row>
    <row r="616" spans="1:6" hidden="1" outlineLevel="1" x14ac:dyDescent="0.2">
      <c r="F616" s="41">
        <f t="shared" si="9"/>
        <v>0</v>
      </c>
    </row>
    <row r="617" spans="1:6" hidden="1" outlineLevel="1" x14ac:dyDescent="0.2">
      <c r="F617" s="41">
        <f t="shared" si="9"/>
        <v>0</v>
      </c>
    </row>
    <row r="618" spans="1:6" hidden="1" outlineLevel="1" x14ac:dyDescent="0.2">
      <c r="F618" s="41">
        <f t="shared" si="9"/>
        <v>0</v>
      </c>
    </row>
    <row r="619" spans="1:6" hidden="1" outlineLevel="1" x14ac:dyDescent="0.2">
      <c r="F619" s="41">
        <f t="shared" si="9"/>
        <v>0</v>
      </c>
    </row>
    <row r="620" spans="1:6" hidden="1" outlineLevel="1" x14ac:dyDescent="0.2">
      <c r="F620" s="41">
        <f t="shared" si="9"/>
        <v>0</v>
      </c>
    </row>
    <row r="621" spans="1:6" hidden="1" outlineLevel="1" x14ac:dyDescent="0.2">
      <c r="F621" s="41">
        <f t="shared" si="9"/>
        <v>0</v>
      </c>
    </row>
    <row r="622" spans="1:6" hidden="1" outlineLevel="1" x14ac:dyDescent="0.2">
      <c r="F622" s="41">
        <f t="shared" si="9"/>
        <v>0</v>
      </c>
    </row>
    <row r="623" spans="1:6" hidden="1" outlineLevel="1" x14ac:dyDescent="0.2">
      <c r="F623" s="41">
        <f t="shared" si="9"/>
        <v>0</v>
      </c>
    </row>
    <row r="624" spans="1:6" hidden="1" outlineLevel="1" x14ac:dyDescent="0.2">
      <c r="F624" s="41">
        <f t="shared" si="9"/>
        <v>0</v>
      </c>
    </row>
    <row r="625" spans="6:6" hidden="1" outlineLevel="1" x14ac:dyDescent="0.2">
      <c r="F625" s="41">
        <f t="shared" si="9"/>
        <v>0</v>
      </c>
    </row>
    <row r="626" spans="6:6" hidden="1" outlineLevel="1" x14ac:dyDescent="0.2">
      <c r="F626" s="41">
        <f t="shared" si="9"/>
        <v>0</v>
      </c>
    </row>
    <row r="627" spans="6:6" hidden="1" outlineLevel="1" x14ac:dyDescent="0.2">
      <c r="F627" s="41">
        <f t="shared" si="9"/>
        <v>0</v>
      </c>
    </row>
    <row r="628" spans="6:6" hidden="1" outlineLevel="1" x14ac:dyDescent="0.2">
      <c r="F628" s="41">
        <f t="shared" si="9"/>
        <v>0</v>
      </c>
    </row>
    <row r="629" spans="6:6" hidden="1" outlineLevel="1" x14ac:dyDescent="0.2">
      <c r="F629" s="41">
        <f t="shared" si="9"/>
        <v>0</v>
      </c>
    </row>
    <row r="630" spans="6:6" hidden="1" outlineLevel="1" x14ac:dyDescent="0.2">
      <c r="F630" s="41">
        <f t="shared" si="9"/>
        <v>0</v>
      </c>
    </row>
    <row r="631" spans="6:6" hidden="1" outlineLevel="1" x14ac:dyDescent="0.2">
      <c r="F631" s="41">
        <f t="shared" si="9"/>
        <v>0</v>
      </c>
    </row>
    <row r="632" spans="6:6" hidden="1" outlineLevel="1" x14ac:dyDescent="0.2">
      <c r="F632" s="41">
        <f t="shared" si="9"/>
        <v>0</v>
      </c>
    </row>
    <row r="633" spans="6:6" hidden="1" outlineLevel="1" x14ac:dyDescent="0.2">
      <c r="F633" s="41">
        <f t="shared" si="9"/>
        <v>0</v>
      </c>
    </row>
    <row r="634" spans="6:6" hidden="1" outlineLevel="1" x14ac:dyDescent="0.2">
      <c r="F634" s="41">
        <f t="shared" si="9"/>
        <v>0</v>
      </c>
    </row>
    <row r="635" spans="6:6" hidden="1" outlineLevel="1" x14ac:dyDescent="0.2">
      <c r="F635" s="41">
        <f t="shared" si="9"/>
        <v>0</v>
      </c>
    </row>
    <row r="636" spans="6:6" hidden="1" outlineLevel="1" x14ac:dyDescent="0.2">
      <c r="F636" s="41">
        <f t="shared" si="9"/>
        <v>0</v>
      </c>
    </row>
    <row r="637" spans="6:6" hidden="1" outlineLevel="1" x14ac:dyDescent="0.2">
      <c r="F637" s="41">
        <f t="shared" si="9"/>
        <v>0</v>
      </c>
    </row>
    <row r="638" spans="6:6" hidden="1" outlineLevel="1" x14ac:dyDescent="0.2">
      <c r="F638" s="41">
        <f t="shared" si="9"/>
        <v>0</v>
      </c>
    </row>
    <row r="639" spans="6:6" hidden="1" outlineLevel="1" x14ac:dyDescent="0.2">
      <c r="F639" s="41">
        <f t="shared" si="9"/>
        <v>0</v>
      </c>
    </row>
    <row r="640" spans="6:6" hidden="1" outlineLevel="1" x14ac:dyDescent="0.2">
      <c r="F640" s="41">
        <f t="shared" si="9"/>
        <v>0</v>
      </c>
    </row>
    <row r="641" spans="1:6" hidden="1" outlineLevel="1" x14ac:dyDescent="0.2">
      <c r="F641" s="41">
        <f t="shared" si="9"/>
        <v>0</v>
      </c>
    </row>
    <row r="642" spans="1:6" hidden="1" outlineLevel="1" x14ac:dyDescent="0.2">
      <c r="F642" s="41">
        <f t="shared" si="9"/>
        <v>0</v>
      </c>
    </row>
    <row r="643" spans="1:6" hidden="1" outlineLevel="1" x14ac:dyDescent="0.2">
      <c r="F643" s="41">
        <f t="shared" ref="F643:F701" si="10">E643/$E$750*100</f>
        <v>0</v>
      </c>
    </row>
    <row r="644" spans="1:6" hidden="1" outlineLevel="1" x14ac:dyDescent="0.2">
      <c r="F644" s="41">
        <f t="shared" si="10"/>
        <v>0</v>
      </c>
    </row>
    <row r="645" spans="1:6" hidden="1" outlineLevel="1" x14ac:dyDescent="0.2">
      <c r="F645" s="41">
        <f t="shared" si="10"/>
        <v>0</v>
      </c>
    </row>
    <row r="646" spans="1:6" hidden="1" outlineLevel="1" x14ac:dyDescent="0.2">
      <c r="F646" s="41">
        <f t="shared" si="10"/>
        <v>0</v>
      </c>
    </row>
    <row r="647" spans="1:6" hidden="1" outlineLevel="1" x14ac:dyDescent="0.2">
      <c r="F647" s="41">
        <f t="shared" si="10"/>
        <v>0</v>
      </c>
    </row>
    <row r="648" spans="1:6" hidden="1" outlineLevel="1" x14ac:dyDescent="0.2">
      <c r="F648" s="41">
        <f t="shared" si="10"/>
        <v>0</v>
      </c>
    </row>
    <row r="649" spans="1:6" hidden="1" outlineLevel="1" x14ac:dyDescent="0.2">
      <c r="F649" s="41">
        <f t="shared" si="10"/>
        <v>0</v>
      </c>
    </row>
    <row r="650" spans="1:6" hidden="1" outlineLevel="1" x14ac:dyDescent="0.2">
      <c r="F650" s="41">
        <f t="shared" si="10"/>
        <v>0</v>
      </c>
    </row>
    <row r="651" spans="1:6" ht="12.75" customHeight="1" collapsed="1" x14ac:dyDescent="0.2">
      <c r="A651" s="168" t="str">
        <f>Eingaben!B107</f>
        <v>Katalog im Internet</v>
      </c>
      <c r="B651" s="168"/>
      <c r="C651" s="168"/>
      <c r="D651" s="168"/>
      <c r="E651" s="4">
        <v>4</v>
      </c>
      <c r="F651" s="41">
        <f t="shared" si="10"/>
        <v>3.4188034188034191</v>
      </c>
    </row>
    <row r="652" spans="1:6" hidden="1" outlineLevel="1" x14ac:dyDescent="0.2">
      <c r="B652" s="2"/>
      <c r="F652" s="41">
        <f t="shared" si="10"/>
        <v>0</v>
      </c>
    </row>
    <row r="653" spans="1:6" hidden="1" outlineLevel="1" x14ac:dyDescent="0.2">
      <c r="A653" s="107" t="s">
        <v>90</v>
      </c>
      <c r="F653" s="41">
        <f t="shared" si="10"/>
        <v>0</v>
      </c>
    </row>
    <row r="654" spans="1:6" ht="27.6" hidden="1" customHeight="1" outlineLevel="1" x14ac:dyDescent="0.2">
      <c r="A654" s="95" t="str">
        <f>Eingaben!B108</f>
        <v xml:space="preserve">Bibliothek am Verbundkatalog angeschlossen? </v>
      </c>
      <c r="B654" s="6">
        <v>0.5</v>
      </c>
      <c r="F654" s="41">
        <f t="shared" si="10"/>
        <v>0</v>
      </c>
    </row>
    <row r="655" spans="1:6" ht="16.149999999999999" hidden="1" customHeight="1" outlineLevel="1" x14ac:dyDescent="0.2">
      <c r="A655" s="95" t="str">
        <f>Eingaben!B109</f>
        <v xml:space="preserve"> Von eigener Website direkter Zugriff auf Online-Katalog oder via Verbundkatalog?</v>
      </c>
      <c r="B655" s="6">
        <v>0.5</v>
      </c>
      <c r="F655" s="41">
        <f t="shared" si="10"/>
        <v>0</v>
      </c>
    </row>
    <row r="656" spans="1:6" hidden="1" outlineLevel="1" x14ac:dyDescent="0.2">
      <c r="A656" s="6"/>
      <c r="B656" s="6"/>
      <c r="F656" s="41">
        <f t="shared" si="10"/>
        <v>0</v>
      </c>
    </row>
    <row r="657" spans="1:6" hidden="1" outlineLevel="1" x14ac:dyDescent="0.2">
      <c r="A657" s="6"/>
      <c r="B657" s="6"/>
      <c r="F657" s="41">
        <f t="shared" si="10"/>
        <v>0</v>
      </c>
    </row>
    <row r="658" spans="1:6" hidden="1" outlineLevel="1" x14ac:dyDescent="0.2">
      <c r="A658" s="6"/>
      <c r="B658" s="6"/>
      <c r="F658" s="41">
        <f t="shared" si="10"/>
        <v>0</v>
      </c>
    </row>
    <row r="659" spans="1:6" hidden="1" outlineLevel="1" x14ac:dyDescent="0.2">
      <c r="A659" s="6"/>
      <c r="B659" s="6"/>
      <c r="F659" s="41">
        <f t="shared" si="10"/>
        <v>0</v>
      </c>
    </row>
    <row r="660" spans="1:6" hidden="1" outlineLevel="1" x14ac:dyDescent="0.2">
      <c r="A660" s="6"/>
      <c r="B660" s="6"/>
      <c r="F660" s="41">
        <f t="shared" si="10"/>
        <v>0</v>
      </c>
    </row>
    <row r="661" spans="1:6" hidden="1" outlineLevel="1" x14ac:dyDescent="0.2">
      <c r="A661" s="6"/>
      <c r="B661" s="6"/>
      <c r="F661" s="41">
        <f t="shared" si="10"/>
        <v>0</v>
      </c>
    </row>
    <row r="662" spans="1:6" hidden="1" outlineLevel="1" x14ac:dyDescent="0.2">
      <c r="A662" s="6"/>
      <c r="B662" s="6"/>
      <c r="F662" s="41">
        <f t="shared" si="10"/>
        <v>0</v>
      </c>
    </row>
    <row r="663" spans="1:6" hidden="1" outlineLevel="1" x14ac:dyDescent="0.2">
      <c r="A663" s="6"/>
      <c r="B663" s="6"/>
      <c r="F663" s="41">
        <f t="shared" si="10"/>
        <v>0</v>
      </c>
    </row>
    <row r="664" spans="1:6" hidden="1" outlineLevel="1" x14ac:dyDescent="0.2">
      <c r="F664" s="41">
        <f t="shared" si="10"/>
        <v>0</v>
      </c>
    </row>
    <row r="665" spans="1:6" hidden="1" outlineLevel="1" x14ac:dyDescent="0.2">
      <c r="F665" s="41">
        <f t="shared" si="10"/>
        <v>0</v>
      </c>
    </row>
    <row r="666" spans="1:6" hidden="1" outlineLevel="1" x14ac:dyDescent="0.2">
      <c r="F666" s="41">
        <f t="shared" si="10"/>
        <v>0</v>
      </c>
    </row>
    <row r="667" spans="1:6" hidden="1" outlineLevel="1" x14ac:dyDescent="0.2">
      <c r="F667" s="41">
        <f t="shared" si="10"/>
        <v>0</v>
      </c>
    </row>
    <row r="668" spans="1:6" hidden="1" outlineLevel="1" x14ac:dyDescent="0.2">
      <c r="F668" s="41">
        <f t="shared" si="10"/>
        <v>0</v>
      </c>
    </row>
    <row r="669" spans="1:6" hidden="1" outlineLevel="1" x14ac:dyDescent="0.2">
      <c r="F669" s="41">
        <f t="shared" si="10"/>
        <v>0</v>
      </c>
    </row>
    <row r="670" spans="1:6" hidden="1" outlineLevel="1" x14ac:dyDescent="0.2">
      <c r="F670" s="41">
        <f t="shared" si="10"/>
        <v>0</v>
      </c>
    </row>
    <row r="671" spans="1:6" hidden="1" outlineLevel="1" x14ac:dyDescent="0.2">
      <c r="F671" s="41">
        <f t="shared" si="10"/>
        <v>0</v>
      </c>
    </row>
    <row r="672" spans="1:6" hidden="1" outlineLevel="1" x14ac:dyDescent="0.2">
      <c r="F672" s="41">
        <f t="shared" si="10"/>
        <v>0</v>
      </c>
    </row>
    <row r="673" spans="6:6" hidden="1" outlineLevel="1" x14ac:dyDescent="0.2">
      <c r="F673" s="41">
        <f t="shared" si="10"/>
        <v>0</v>
      </c>
    </row>
    <row r="674" spans="6:6" hidden="1" outlineLevel="1" x14ac:dyDescent="0.2">
      <c r="F674" s="41">
        <f t="shared" si="10"/>
        <v>0</v>
      </c>
    </row>
    <row r="675" spans="6:6" hidden="1" outlineLevel="1" x14ac:dyDescent="0.2">
      <c r="F675" s="41">
        <f t="shared" si="10"/>
        <v>0</v>
      </c>
    </row>
    <row r="676" spans="6:6" hidden="1" outlineLevel="1" x14ac:dyDescent="0.2">
      <c r="F676" s="41">
        <f t="shared" si="10"/>
        <v>0</v>
      </c>
    </row>
    <row r="677" spans="6:6" hidden="1" outlineLevel="1" x14ac:dyDescent="0.2">
      <c r="F677" s="41">
        <f t="shared" si="10"/>
        <v>0</v>
      </c>
    </row>
    <row r="678" spans="6:6" hidden="1" outlineLevel="1" x14ac:dyDescent="0.2">
      <c r="F678" s="41">
        <f t="shared" si="10"/>
        <v>0</v>
      </c>
    </row>
    <row r="679" spans="6:6" hidden="1" outlineLevel="1" x14ac:dyDescent="0.2">
      <c r="F679" s="41">
        <f t="shared" si="10"/>
        <v>0</v>
      </c>
    </row>
    <row r="680" spans="6:6" hidden="1" outlineLevel="1" x14ac:dyDescent="0.2">
      <c r="F680" s="41">
        <f t="shared" si="10"/>
        <v>0</v>
      </c>
    </row>
    <row r="681" spans="6:6" hidden="1" outlineLevel="1" x14ac:dyDescent="0.2">
      <c r="F681" s="41">
        <f t="shared" si="10"/>
        <v>0</v>
      </c>
    </row>
    <row r="682" spans="6:6" hidden="1" outlineLevel="1" x14ac:dyDescent="0.2">
      <c r="F682" s="41">
        <f t="shared" si="10"/>
        <v>0</v>
      </c>
    </row>
    <row r="683" spans="6:6" hidden="1" outlineLevel="1" x14ac:dyDescent="0.2">
      <c r="F683" s="41">
        <f t="shared" si="10"/>
        <v>0</v>
      </c>
    </row>
    <row r="684" spans="6:6" hidden="1" outlineLevel="1" x14ac:dyDescent="0.2">
      <c r="F684" s="41">
        <f t="shared" si="10"/>
        <v>0</v>
      </c>
    </row>
    <row r="685" spans="6:6" hidden="1" outlineLevel="1" x14ac:dyDescent="0.2">
      <c r="F685" s="41">
        <f t="shared" si="10"/>
        <v>0</v>
      </c>
    </row>
    <row r="686" spans="6:6" hidden="1" outlineLevel="1" x14ac:dyDescent="0.2">
      <c r="F686" s="41">
        <f t="shared" si="10"/>
        <v>0</v>
      </c>
    </row>
    <row r="687" spans="6:6" hidden="1" outlineLevel="1" x14ac:dyDescent="0.2">
      <c r="F687" s="41">
        <f t="shared" si="10"/>
        <v>0</v>
      </c>
    </row>
    <row r="688" spans="6:6" hidden="1" outlineLevel="1" x14ac:dyDescent="0.2">
      <c r="F688" s="41">
        <f t="shared" si="10"/>
        <v>0</v>
      </c>
    </row>
    <row r="689" spans="1:6" hidden="1" outlineLevel="1" x14ac:dyDescent="0.2">
      <c r="F689" s="41">
        <f t="shared" si="10"/>
        <v>0</v>
      </c>
    </row>
    <row r="690" spans="1:6" hidden="1" outlineLevel="1" x14ac:dyDescent="0.2">
      <c r="F690" s="41">
        <f t="shared" si="10"/>
        <v>0</v>
      </c>
    </row>
    <row r="691" spans="1:6" hidden="1" outlineLevel="1" x14ac:dyDescent="0.2">
      <c r="F691" s="41">
        <f t="shared" si="10"/>
        <v>0</v>
      </c>
    </row>
    <row r="692" spans="1:6" hidden="1" outlineLevel="1" x14ac:dyDescent="0.2">
      <c r="F692" s="41">
        <f t="shared" si="10"/>
        <v>0</v>
      </c>
    </row>
    <row r="693" spans="1:6" hidden="1" outlineLevel="1" x14ac:dyDescent="0.2">
      <c r="F693" s="41">
        <f t="shared" si="10"/>
        <v>0</v>
      </c>
    </row>
    <row r="694" spans="1:6" hidden="1" outlineLevel="1" x14ac:dyDescent="0.2">
      <c r="F694" s="41">
        <f t="shared" si="10"/>
        <v>0</v>
      </c>
    </row>
    <row r="695" spans="1:6" hidden="1" outlineLevel="1" x14ac:dyDescent="0.2">
      <c r="F695" s="41">
        <f t="shared" si="10"/>
        <v>0</v>
      </c>
    </row>
    <row r="696" spans="1:6" hidden="1" outlineLevel="1" x14ac:dyDescent="0.2">
      <c r="F696" s="41">
        <f t="shared" si="10"/>
        <v>0</v>
      </c>
    </row>
    <row r="697" spans="1:6" hidden="1" outlineLevel="1" x14ac:dyDescent="0.2">
      <c r="F697" s="41">
        <f t="shared" si="10"/>
        <v>0</v>
      </c>
    </row>
    <row r="698" spans="1:6" hidden="1" outlineLevel="1" x14ac:dyDescent="0.2">
      <c r="F698" s="41">
        <f t="shared" si="10"/>
        <v>0</v>
      </c>
    </row>
    <row r="699" spans="1:6" hidden="1" outlineLevel="1" x14ac:dyDescent="0.2">
      <c r="F699" s="41">
        <f t="shared" si="10"/>
        <v>0</v>
      </c>
    </row>
    <row r="700" spans="1:6" hidden="1" outlineLevel="1" x14ac:dyDescent="0.2">
      <c r="F700" s="41">
        <f t="shared" si="10"/>
        <v>0</v>
      </c>
    </row>
    <row r="701" spans="1:6" collapsed="1" x14ac:dyDescent="0.2">
      <c r="A701" s="168" t="str">
        <f>Eingaben!B111</f>
        <v>Finanzen (laufende Kosten ohne spezielle Aufwendungen (Bsp. Aufstocken Medienbestand))</v>
      </c>
      <c r="B701" s="168"/>
      <c r="C701" s="168"/>
      <c r="D701" s="168"/>
      <c r="E701" s="4">
        <v>12</v>
      </c>
      <c r="F701" s="41">
        <f t="shared" si="10"/>
        <v>10.256410256410255</v>
      </c>
    </row>
    <row r="702" spans="1:6" hidden="1" outlineLevel="1" x14ac:dyDescent="0.2">
      <c r="B702" s="171"/>
      <c r="C702" s="171"/>
    </row>
    <row r="703" spans="1:6" hidden="1" outlineLevel="1" x14ac:dyDescent="0.2"/>
    <row r="704" spans="1:6" hidden="1" outlineLevel="1" x14ac:dyDescent="0.2">
      <c r="B704" s="6"/>
      <c r="C704" s="6"/>
      <c r="D704" s="16"/>
    </row>
    <row r="705" spans="1:4" hidden="1" outlineLevel="1" x14ac:dyDescent="0.2">
      <c r="B705" s="6"/>
      <c r="C705" s="6"/>
      <c r="D705" s="16"/>
    </row>
    <row r="706" spans="1:4" hidden="1" outlineLevel="1" x14ac:dyDescent="0.2">
      <c r="B706" s="6"/>
      <c r="C706" s="6"/>
      <c r="D706" s="16"/>
    </row>
    <row r="707" spans="1:4" hidden="1" outlineLevel="1" x14ac:dyDescent="0.2">
      <c r="B707" s="6"/>
      <c r="C707" s="6"/>
      <c r="D707" s="16"/>
    </row>
    <row r="708" spans="1:4" hidden="1" outlineLevel="1" x14ac:dyDescent="0.2">
      <c r="B708" s="6"/>
      <c r="C708" s="6"/>
    </row>
    <row r="709" spans="1:4" hidden="1" outlineLevel="1" x14ac:dyDescent="0.2"/>
    <row r="710" spans="1:4" hidden="1" outlineLevel="1" x14ac:dyDescent="0.2">
      <c r="A710" t="s">
        <v>90</v>
      </c>
      <c r="C710" s="13"/>
    </row>
    <row r="711" spans="1:4" ht="27" hidden="1" customHeight="1" outlineLevel="1" x14ac:dyDescent="0.2">
      <c r="A711" s="101" t="str">
        <f>Eingaben!B113</f>
        <v>Peronalkosten als prozentualer Anteil des Totalaufwands (optimal 50% - 65%)</v>
      </c>
      <c r="B711" s="16">
        <v>0.125</v>
      </c>
      <c r="C711" s="110"/>
    </row>
    <row r="712" spans="1:4" ht="26.45" hidden="1" customHeight="1" outlineLevel="1" x14ac:dyDescent="0.2">
      <c r="A712" s="101" t="str">
        <f>Eingaben!B115</f>
        <v>Medienkosten als prozentualer Anteil des Totalaufwands (optimal 15% - 20%)</v>
      </c>
      <c r="B712" s="16">
        <v>0.125</v>
      </c>
      <c r="C712" s="6"/>
    </row>
    <row r="713" spans="1:4" ht="25.5" hidden="1" outlineLevel="1" x14ac:dyDescent="0.2">
      <c r="A713" s="101" t="str">
        <f>Eingaben!B117</f>
        <v>Raumkosten als prozentualer Anteil des Totalaufwands (optimal 10% - 15%)</v>
      </c>
      <c r="B713" s="16">
        <v>0.125</v>
      </c>
      <c r="C713" s="6"/>
    </row>
    <row r="714" spans="1:4" ht="25.5" hidden="1" outlineLevel="1" x14ac:dyDescent="0.2">
      <c r="A714" s="101" t="str">
        <f>Eingaben!B121</f>
        <v>übrige Sachkosten als prozentualer Anteil des Totalaufwands (optimal 10% - 15%)</v>
      </c>
      <c r="B714" s="16">
        <v>0.125</v>
      </c>
      <c r="C714" s="6"/>
    </row>
    <row r="715" spans="1:4" hidden="1" outlineLevel="1" x14ac:dyDescent="0.2">
      <c r="A715" s="101" t="str">
        <f>Eingaben!B125</f>
        <v>Tatsächlicher Aufwand pro Einwohner (in Fr.)</v>
      </c>
      <c r="B715" s="6">
        <v>0.5</v>
      </c>
      <c r="C715" s="6"/>
    </row>
    <row r="716" spans="1:4" hidden="1" outlineLevel="1" x14ac:dyDescent="0.2">
      <c r="A716" s="99"/>
      <c r="B716" s="40">
        <f>SUM(B711:B715)</f>
        <v>1</v>
      </c>
      <c r="C716" s="40"/>
    </row>
    <row r="717" spans="1:4" hidden="1" outlineLevel="1" x14ac:dyDescent="0.2"/>
    <row r="718" spans="1:4" hidden="1" outlineLevel="1" x14ac:dyDescent="0.2"/>
    <row r="719" spans="1:4" hidden="1" outlineLevel="1" x14ac:dyDescent="0.2">
      <c r="A719" s="13" t="s">
        <v>134</v>
      </c>
      <c r="B719" t="s">
        <v>7</v>
      </c>
    </row>
    <row r="720" spans="1:4" hidden="1" outlineLevel="1" x14ac:dyDescent="0.2">
      <c r="A720" s="5">
        <v>0</v>
      </c>
      <c r="B720" s="5">
        <v>1</v>
      </c>
    </row>
    <row r="721" spans="1:2" hidden="1" outlineLevel="1" x14ac:dyDescent="0.2">
      <c r="A721" s="5">
        <v>0.05</v>
      </c>
      <c r="B721" s="5">
        <v>0.95</v>
      </c>
    </row>
    <row r="722" spans="1:2" hidden="1" outlineLevel="1" x14ac:dyDescent="0.2">
      <c r="A722" s="5">
        <v>0.1</v>
      </c>
      <c r="B722" s="5">
        <v>0.9</v>
      </c>
    </row>
    <row r="723" spans="1:2" hidden="1" outlineLevel="1" x14ac:dyDescent="0.2">
      <c r="A723" s="5">
        <v>0.15</v>
      </c>
      <c r="B723" s="5">
        <v>0.85</v>
      </c>
    </row>
    <row r="724" spans="1:2" hidden="1" outlineLevel="1" x14ac:dyDescent="0.2">
      <c r="A724" s="5">
        <v>0.2</v>
      </c>
      <c r="B724" s="5">
        <v>0.8</v>
      </c>
    </row>
    <row r="725" spans="1:2" hidden="1" outlineLevel="1" x14ac:dyDescent="0.2">
      <c r="A725" s="5">
        <v>0.25</v>
      </c>
      <c r="B725" s="5">
        <v>0.75</v>
      </c>
    </row>
    <row r="726" spans="1:2" hidden="1" outlineLevel="1" x14ac:dyDescent="0.2">
      <c r="A726" s="5">
        <v>0.3</v>
      </c>
      <c r="B726" s="5">
        <v>0.7</v>
      </c>
    </row>
    <row r="727" spans="1:2" hidden="1" outlineLevel="1" x14ac:dyDescent="0.2">
      <c r="A727" s="5">
        <v>0.35</v>
      </c>
      <c r="B727" s="5">
        <v>0.65</v>
      </c>
    </row>
    <row r="728" spans="1:2" hidden="1" outlineLevel="1" x14ac:dyDescent="0.2">
      <c r="A728" s="5">
        <v>0.4</v>
      </c>
      <c r="B728" s="5">
        <v>0.6</v>
      </c>
    </row>
    <row r="729" spans="1:2" hidden="1" outlineLevel="1" x14ac:dyDescent="0.2">
      <c r="A729" s="5">
        <v>0.45</v>
      </c>
      <c r="B729" s="5">
        <v>0.55000000000000004</v>
      </c>
    </row>
    <row r="730" spans="1:2" hidden="1" outlineLevel="1" x14ac:dyDescent="0.2">
      <c r="A730" s="5">
        <v>0.5</v>
      </c>
      <c r="B730" s="5">
        <v>0.5</v>
      </c>
    </row>
    <row r="731" spans="1:2" hidden="1" outlineLevel="1" x14ac:dyDescent="0.2">
      <c r="A731" s="5">
        <v>0.55000000000000004</v>
      </c>
      <c r="B731" s="5">
        <v>0.45</v>
      </c>
    </row>
    <row r="732" spans="1:2" hidden="1" outlineLevel="1" x14ac:dyDescent="0.2">
      <c r="A732" s="5">
        <v>0.6</v>
      </c>
      <c r="B732" s="5">
        <v>0.39999999999999902</v>
      </c>
    </row>
    <row r="733" spans="1:2" hidden="1" outlineLevel="1" x14ac:dyDescent="0.2">
      <c r="A733" s="5">
        <v>0.65</v>
      </c>
      <c r="B733" s="5">
        <v>0.34999999999999898</v>
      </c>
    </row>
    <row r="734" spans="1:2" hidden="1" outlineLevel="1" x14ac:dyDescent="0.2">
      <c r="A734" s="5">
        <v>0.7</v>
      </c>
      <c r="B734" s="5">
        <v>0.29999999999999899</v>
      </c>
    </row>
    <row r="735" spans="1:2" hidden="1" outlineLevel="1" x14ac:dyDescent="0.2">
      <c r="A735" s="5">
        <v>0.75</v>
      </c>
      <c r="B735" s="5">
        <v>0.249999999999999</v>
      </c>
    </row>
    <row r="736" spans="1:2" hidden="1" outlineLevel="1" x14ac:dyDescent="0.2">
      <c r="A736" s="5">
        <v>0.8</v>
      </c>
      <c r="B736" s="5">
        <v>0.19999999999999901</v>
      </c>
    </row>
    <row r="737" spans="1:6" hidden="1" outlineLevel="1" x14ac:dyDescent="0.2">
      <c r="A737" s="5">
        <v>0.85</v>
      </c>
      <c r="B737" s="5">
        <v>0.149999999999999</v>
      </c>
    </row>
    <row r="738" spans="1:6" hidden="1" outlineLevel="1" x14ac:dyDescent="0.2">
      <c r="A738" s="5">
        <v>0.9</v>
      </c>
      <c r="B738" s="5">
        <v>9.9999999999999006E-2</v>
      </c>
    </row>
    <row r="739" spans="1:6" hidden="1" outlineLevel="1" x14ac:dyDescent="0.2">
      <c r="A739" s="5">
        <v>0.95</v>
      </c>
      <c r="B739" s="5">
        <v>4.9999999999998997E-2</v>
      </c>
    </row>
    <row r="740" spans="1:6" hidden="1" outlineLevel="1" x14ac:dyDescent="0.2">
      <c r="A740" s="5">
        <v>1</v>
      </c>
      <c r="B740" s="5">
        <v>0</v>
      </c>
    </row>
    <row r="741" spans="1:6" hidden="1" outlineLevel="1" x14ac:dyDescent="0.2"/>
    <row r="742" spans="1:6" hidden="1" outlineLevel="1" x14ac:dyDescent="0.2"/>
    <row r="743" spans="1:6" hidden="1" outlineLevel="1" x14ac:dyDescent="0.2"/>
    <row r="744" spans="1:6" hidden="1" outlineLevel="1" x14ac:dyDescent="0.2"/>
    <row r="745" spans="1:6" hidden="1" outlineLevel="1" x14ac:dyDescent="0.2"/>
    <row r="746" spans="1:6" hidden="1" outlineLevel="1" x14ac:dyDescent="0.2"/>
    <row r="747" spans="1:6" hidden="1" outlineLevel="1" x14ac:dyDescent="0.2"/>
    <row r="748" spans="1:6" hidden="1" outlineLevel="1" x14ac:dyDescent="0.2"/>
    <row r="749" spans="1:6" hidden="1" outlineLevel="1" x14ac:dyDescent="0.2"/>
    <row r="750" spans="1:6" x14ac:dyDescent="0.2">
      <c r="A750" s="38" t="s">
        <v>43</v>
      </c>
      <c r="E750" s="39">
        <f>SUM(E2,E25,E51,E101,E151,E201,E251,E301,E351,E401,E451,E501,E551,E601,E651,E701)</f>
        <v>117</v>
      </c>
      <c r="F750" s="39">
        <f>SUM(F2,F25,F51,F101,F151,F201,F251,F301,F351,F401,F451,F501,F551,F601,F651,F701)</f>
        <v>100</v>
      </c>
    </row>
  </sheetData>
  <sheetProtection selectLockedCells="1"/>
  <mergeCells count="16">
    <mergeCell ref="A701:D701"/>
    <mergeCell ref="B702:C702"/>
    <mergeCell ref="A25:D25"/>
    <mergeCell ref="A201:D201"/>
    <mergeCell ref="A101:D101"/>
    <mergeCell ref="A151:D151"/>
    <mergeCell ref="A51:D51"/>
    <mergeCell ref="A451:D451"/>
    <mergeCell ref="A401:D401"/>
    <mergeCell ref="A301:D301"/>
    <mergeCell ref="A251:D251"/>
    <mergeCell ref="A351:D351"/>
    <mergeCell ref="A601:D601"/>
    <mergeCell ref="A651:D651"/>
    <mergeCell ref="A551:D551"/>
    <mergeCell ref="A501:D501"/>
  </mergeCells>
  <phoneticPr fontId="6" type="noConversion"/>
  <pageMargins left="0.78740157499999996" right="0.78740157499999996" top="0.984251969" bottom="0.984251969" header="0.4921259845" footer="0.4921259845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/>
  </sheetViews>
  <sheetFormatPr baseColWidth="10" defaultColWidth="11.5703125" defaultRowHeight="11.25" x14ac:dyDescent="0.2"/>
  <cols>
    <col min="1" max="1" width="79.140625" style="8" customWidth="1"/>
    <col min="2" max="16384" width="11.5703125" style="8"/>
  </cols>
  <sheetData>
    <row r="1" spans="1:3" x14ac:dyDescent="0.2">
      <c r="A1" s="8" t="str">
        <f>Eingaben!A16&amp;" "&amp;Eingaben!B16</f>
        <v>1 Kundschaft (Norm: 20% der Bevölkerung)</v>
      </c>
      <c r="B1" s="128">
        <f>Eingaben!E16</f>
        <v>0</v>
      </c>
      <c r="C1" s="128">
        <f>Eingaben!F16</f>
        <v>10.256410256410255</v>
      </c>
    </row>
    <row r="2" spans="1:3" x14ac:dyDescent="0.2">
      <c r="A2" s="8" t="str">
        <f>Eingaben!A21&amp;" "&amp;Eingaben!B21</f>
        <v>2 Personal</v>
      </c>
      <c r="B2" s="128">
        <f>Eingaben!E21</f>
        <v>0</v>
      </c>
      <c r="C2" s="128">
        <f>Eingaben!F21</f>
        <v>4.2735042735042734</v>
      </c>
    </row>
    <row r="3" spans="1:3" x14ac:dyDescent="0.2">
      <c r="A3" s="8" t="str">
        <f>Eingaben!A28&amp;" "&amp;Eingaben!B28</f>
        <v>3 Bibliothekarische Ausbildungsstufe</v>
      </c>
      <c r="B3" s="128">
        <f>Eingaben!E28</f>
        <v>0</v>
      </c>
      <c r="C3" s="128">
        <f>Eingaben!F28</f>
        <v>5.1282051282051277</v>
      </c>
    </row>
    <row r="4" spans="1:3" x14ac:dyDescent="0.2">
      <c r="A4" s="8" t="str">
        <f>Eingaben!A33&amp;" "&amp;Eingaben!B33</f>
        <v>4 Publikumsfläche (Norm gemäss Richtlinien für GSB: 30 Quadratmeter pro 1000 Medien)</v>
      </c>
      <c r="B4" s="128">
        <f>Eingaben!E33</f>
        <v>0</v>
      </c>
      <c r="C4" s="128">
        <f>Eingaben!F33</f>
        <v>5.1282051282051277</v>
      </c>
    </row>
    <row r="5" spans="1:3" x14ac:dyDescent="0.2">
      <c r="A5" s="8" t="str">
        <f>Eingaben!A39&amp;" "&amp;Eingaben!B39</f>
        <v>5 Publikumsarbeitsplätze</v>
      </c>
      <c r="B5" s="128">
        <f>Eingaben!E39</f>
        <v>0</v>
      </c>
      <c r="C5" s="128">
        <f>Eingaben!F39</f>
        <v>5.1282051282051277</v>
      </c>
    </row>
    <row r="6" spans="1:3" x14ac:dyDescent="0.2">
      <c r="A6" s="8" t="str">
        <f>Eingaben!A45&amp;" "&amp;Eingaben!B45</f>
        <v xml:space="preserve">6 Internetanschlüsse für Publikum </v>
      </c>
      <c r="B6" s="128">
        <f>Eingaben!E45</f>
        <v>0</v>
      </c>
      <c r="C6" s="128">
        <f>Eingaben!F45</f>
        <v>4.2735042735042734</v>
      </c>
    </row>
    <row r="7" spans="1:3" x14ac:dyDescent="0.2">
      <c r="A7" s="8" t="str">
        <f>Eingaben!A50&amp;" "&amp;Eingaben!B50</f>
        <v>7 Internetanschlüsse für Personal</v>
      </c>
      <c r="B7" s="128">
        <f>Eingaben!E50</f>
        <v>0</v>
      </c>
      <c r="C7" s="128">
        <f>Eingaben!F50</f>
        <v>4.2735042735042734</v>
      </c>
    </row>
    <row r="8" spans="1:3" x14ac:dyDescent="0.2">
      <c r="A8" s="8" t="str">
        <f>Eingaben!A55&amp;" "&amp;Eingaben!B55</f>
        <v xml:space="preserve">8 Öffnungszeiten </v>
      </c>
      <c r="B8" s="128">
        <f>Eingaben!E55</f>
        <v>0</v>
      </c>
      <c r="C8" s="128">
        <f>Eingaben!F55</f>
        <v>10.256410256410255</v>
      </c>
    </row>
    <row r="9" spans="1:3" x14ac:dyDescent="0.2">
      <c r="A9" s="8" t="str">
        <f>Eingaben!A68&amp;" "&amp;Eingaben!B68</f>
        <v>9 Medienbestand (Norm: 1.5 Medien pro Einwohner / 12 Medien pro Schüler)</v>
      </c>
      <c r="B9" s="128">
        <f>Eingaben!E68</f>
        <v>0</v>
      </c>
      <c r="C9" s="128">
        <f>Eingaben!F68</f>
        <v>10.256410256410255</v>
      </c>
    </row>
    <row r="10" spans="1:3" x14ac:dyDescent="0.2">
      <c r="A10" s="8" t="str">
        <f>Eingaben!A74&amp;" "&amp;Eingaben!B74</f>
        <v>10 Bestandeserneuerung pro Jahr</v>
      </c>
      <c r="B10" s="128">
        <f>Eingaben!E74</f>
        <v>0</v>
      </c>
      <c r="C10" s="128">
        <f>Eingaben!F74</f>
        <v>10.256410256410255</v>
      </c>
    </row>
    <row r="11" spans="1:3" x14ac:dyDescent="0.2">
      <c r="A11" s="8" t="str">
        <f>Eingaben!A82&amp;" "&amp;Eingaben!B82</f>
        <v>11 Bestandesumsatz</v>
      </c>
      <c r="B11" s="128">
        <f>Eingaben!E82</f>
        <v>0</v>
      </c>
      <c r="C11" s="128">
        <f>Eingaben!F82</f>
        <v>6.8376068376068382</v>
      </c>
    </row>
    <row r="12" spans="1:3" x14ac:dyDescent="0.2">
      <c r="A12" s="8" t="str">
        <f>Eingaben!A90&amp;" "&amp;Eingaben!B90</f>
        <v>12 Veranstaltungen (Lesungen, Bücherkaffee, Führungen, Veranstaltungen usw.)</v>
      </c>
      <c r="B12" s="128">
        <f>Eingaben!E90</f>
        <v>0</v>
      </c>
      <c r="C12" s="128">
        <f>Eingaben!F90</f>
        <v>3.4188034188034191</v>
      </c>
    </row>
    <row r="13" spans="1:3" x14ac:dyDescent="0.2">
      <c r="A13" s="8" t="str">
        <f>Eingaben!A95&amp;" "&amp;Eingaben!B95</f>
        <v>13 Zusammenarbeit der Hier klicken+Typ auswählen! mit der Schule</v>
      </c>
      <c r="B13" s="128">
        <f>Eingaben!E95</f>
        <v>0</v>
      </c>
      <c r="C13" s="128">
        <f>Eingaben!F95</f>
        <v>5.1282051282051277</v>
      </c>
    </row>
    <row r="14" spans="1:3" x14ac:dyDescent="0.2">
      <c r="A14" s="8" t="str">
        <f>Eingaben!A105&amp;" "&amp;Eingaben!B105</f>
        <v>14 Basisinformation über Gemeindewebsite</v>
      </c>
      <c r="B14" s="128">
        <f>Eingaben!E105</f>
        <v>0</v>
      </c>
      <c r="C14" s="128">
        <f>Eingaben!F105</f>
        <v>1.7094017094017095</v>
      </c>
    </row>
    <row r="15" spans="1:3" x14ac:dyDescent="0.2">
      <c r="A15" s="8" t="str">
        <f>Eingaben!A107&amp;" "&amp;Eingaben!B107</f>
        <v>15 Katalog im Internet</v>
      </c>
      <c r="B15" s="128">
        <f>Eingaben!E107</f>
        <v>0</v>
      </c>
      <c r="C15" s="128">
        <f>Eingaben!F107</f>
        <v>3.4188034188034191</v>
      </c>
    </row>
    <row r="16" spans="1:3" x14ac:dyDescent="0.2">
      <c r="A16" s="8" t="str">
        <f>Eingaben!A111&amp;" "&amp;Eingaben!B111</f>
        <v>16 Finanzen (laufende Kosten ohne spezielle Aufwendungen (Bsp. Aufstocken Medienbestand))</v>
      </c>
      <c r="B16" s="128">
        <f>Eingaben!E111</f>
        <v>0</v>
      </c>
      <c r="C16" s="128">
        <f>Eingaben!F111</f>
        <v>10.256410256410255</v>
      </c>
    </row>
  </sheetData>
  <phoneticPr fontId="6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4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15</vt:i4>
      </vt:variant>
    </vt:vector>
  </HeadingPairs>
  <TitlesOfParts>
    <vt:vector size="20" baseType="lpstr">
      <vt:lpstr>Eingaben</vt:lpstr>
      <vt:lpstr>NormVorgaben</vt:lpstr>
      <vt:lpstr>Gewichtung</vt:lpstr>
      <vt:lpstr>HilfsblattDiagramm</vt:lpstr>
      <vt:lpstr>Diagramm</vt:lpstr>
      <vt:lpstr>AnzahlInternetanschlüsseFürPersonal</vt:lpstr>
      <vt:lpstr>AnzahlInternetanschlüsseFürPublikum</vt:lpstr>
      <vt:lpstr>AnzahlPublikumsarbeitsplätze</vt:lpstr>
      <vt:lpstr>AnzahlVeranstaltungenFührungen</vt:lpstr>
      <vt:lpstr>BasisinformationImInternet</vt:lpstr>
      <vt:lpstr>Bestand</vt:lpstr>
      <vt:lpstr>Bestandeserneuerung</vt:lpstr>
      <vt:lpstr>Eingaben!Druckbereich</vt:lpstr>
      <vt:lpstr>ErschliessungGemässAT7gleich100</vt:lpstr>
      <vt:lpstr>Fläche</vt:lpstr>
      <vt:lpstr>KatalogImInternetBezogenAufAnzahlMedien</vt:lpstr>
      <vt:lpstr>ÖffnungszeitenJahresdurchschnittProWoche</vt:lpstr>
      <vt:lpstr>Personal</vt:lpstr>
      <vt:lpstr>QualifizierteAusbildungBibliotheksleiterin</vt:lpstr>
      <vt:lpstr>UmgesetzerBestand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Leu</dc:creator>
  <cp:lastModifiedBy>Gabriela</cp:lastModifiedBy>
  <cp:lastPrinted>2009-03-30T22:10:12Z</cp:lastPrinted>
  <dcterms:created xsi:type="dcterms:W3CDTF">2005-10-26T09:56:23Z</dcterms:created>
  <dcterms:modified xsi:type="dcterms:W3CDTF">2019-04-11T08:36:13Z</dcterms:modified>
</cp:coreProperties>
</file>